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-MINEDUC\Documents\PAGINA WEP JIMMY INTRIAGO\"/>
    </mc:Choice>
  </mc:AlternateContent>
  <bookViews>
    <workbookView xWindow="240" yWindow="120" windowWidth="11580" windowHeight="5520"/>
  </bookViews>
  <sheets>
    <sheet name="." sheetId="8" r:id="rId1"/>
    <sheet name="&quot;" sheetId="10" r:id="rId2"/>
    <sheet name="=" sheetId="6" r:id="rId3"/>
    <sheet name="-" sheetId="9" r:id="rId4"/>
    <sheet name="I" sheetId="13" r:id="rId5"/>
    <sheet name="R2" sheetId="12" r:id="rId6"/>
    <sheet name="R1" sheetId="11" r:id="rId7"/>
  </sheets>
  <definedNames>
    <definedName name="_xlnm.Print_Area" localSheetId="4">I!$A$1:$O$42</definedName>
  </definedNames>
  <calcPr calcId="152511"/>
</workbook>
</file>

<file path=xl/calcChain.xml><?xml version="1.0" encoding="utf-8"?>
<calcChain xmlns="http://schemas.openxmlformats.org/spreadsheetml/2006/main">
  <c r="O7" i="13" l="1"/>
  <c r="E40" i="13" l="1"/>
  <c r="E41" i="13"/>
  <c r="G40" i="13"/>
  <c r="G41" i="13"/>
  <c r="K41" i="13"/>
  <c r="K40" i="13"/>
  <c r="K39" i="13"/>
  <c r="G39" i="13"/>
  <c r="E39" i="13"/>
  <c r="F37" i="13"/>
  <c r="K35" i="13"/>
  <c r="D33" i="13"/>
  <c r="D1" i="13"/>
  <c r="B28" i="13"/>
  <c r="B29" i="13"/>
  <c r="B30" i="13"/>
  <c r="B31" i="13"/>
  <c r="L2" i="13"/>
  <c r="L1" i="13"/>
  <c r="D4" i="13"/>
  <c r="D2" i="13"/>
  <c r="H14" i="9"/>
  <c r="H11" i="9" s="1"/>
  <c r="H22" i="9"/>
  <c r="L14" i="11"/>
  <c r="I15" i="11" s="1"/>
  <c r="I13" i="11"/>
  <c r="K13" i="11" s="1"/>
  <c r="I17" i="11" s="1"/>
  <c r="B38" i="13" s="1"/>
  <c r="M10" i="12"/>
  <c r="N10" i="12" s="1"/>
  <c r="H9" i="12"/>
  <c r="E17" i="12" s="1"/>
  <c r="G35" i="13" s="1"/>
  <c r="J21" i="12"/>
  <c r="I32" i="12" s="1"/>
  <c r="K17" i="12"/>
  <c r="P4" i="9"/>
  <c r="K25" i="11"/>
  <c r="J38" i="13" s="1"/>
  <c r="I23" i="11"/>
  <c r="H16" i="10"/>
  <c r="G27" i="10" s="1"/>
  <c r="I12" i="10"/>
  <c r="B5" i="9"/>
  <c r="C15" i="9" s="1"/>
  <c r="C14" i="9" s="1"/>
  <c r="V6" i="6"/>
  <c r="W6" i="6" s="1"/>
  <c r="W7" i="6" s="1"/>
  <c r="W8" i="6" s="1"/>
  <c r="V4" i="6"/>
  <c r="L22" i="8"/>
  <c r="L23" i="8" s="1"/>
  <c r="L24" i="8" s="1"/>
  <c r="H38" i="8" s="1"/>
  <c r="B28" i="6" l="1"/>
  <c r="B23" i="13" s="1"/>
  <c r="C11" i="9"/>
  <c r="B32" i="6" s="1"/>
  <c r="B27" i="13" s="1"/>
  <c r="C28" i="9"/>
  <c r="C23" i="9"/>
  <c r="C19" i="9"/>
  <c r="V8" i="6"/>
  <c r="V10" i="6" s="1"/>
  <c r="E9" i="6" s="1"/>
  <c r="F29" i="6" s="1"/>
  <c r="H40" i="8"/>
  <c r="H30" i="8" s="1"/>
  <c r="L3" i="13" s="1"/>
  <c r="H32" i="8"/>
  <c r="N3" i="13" s="1"/>
  <c r="K31" i="11"/>
  <c r="K30" i="11"/>
  <c r="M41" i="13" s="1"/>
  <c r="K28" i="11"/>
  <c r="M39" i="13" s="1"/>
  <c r="K29" i="11"/>
  <c r="M40" i="13" s="1"/>
  <c r="G29" i="6" l="1"/>
  <c r="D24" i="13" s="1"/>
  <c r="C24" i="13"/>
  <c r="C27" i="9"/>
  <c r="B16" i="6"/>
  <c r="B11" i="13" s="1"/>
  <c r="A27" i="6"/>
  <c r="B27" i="6" s="1"/>
  <c r="C22" i="9"/>
  <c r="B20" i="6"/>
  <c r="B15" i="13" s="1"/>
  <c r="A30" i="6"/>
  <c r="B31" i="6" s="1"/>
  <c r="C18" i="9"/>
  <c r="B24" i="6"/>
  <c r="B19" i="13" s="1"/>
  <c r="F28" i="6"/>
  <c r="F33" i="6"/>
  <c r="F36" i="6"/>
  <c r="F11" i="12"/>
  <c r="L30" i="8"/>
  <c r="H36" i="8" s="1"/>
  <c r="H17" i="8" s="1"/>
  <c r="F30" i="6"/>
  <c r="F26" i="6"/>
  <c r="F22" i="6"/>
  <c r="F31" i="6"/>
  <c r="F35" i="6"/>
  <c r="F14" i="6"/>
  <c r="F17" i="6"/>
  <c r="F27" i="6"/>
  <c r="F32" i="6"/>
  <c r="F25" i="6"/>
  <c r="F19" i="6"/>
  <c r="F13" i="6"/>
  <c r="F20" i="6"/>
  <c r="F34" i="6"/>
  <c r="F18" i="6"/>
  <c r="F15" i="6"/>
  <c r="F24" i="6"/>
  <c r="F16" i="6"/>
  <c r="F23" i="6"/>
  <c r="F21" i="6"/>
  <c r="F12" i="12"/>
  <c r="F14" i="12" s="1"/>
  <c r="F15" i="12" s="1"/>
  <c r="H33" i="8"/>
  <c r="L4" i="13" s="1"/>
  <c r="B4" i="9"/>
  <c r="E19" i="9" s="1"/>
  <c r="E18" i="9" s="1"/>
  <c r="G18" i="9" s="1"/>
  <c r="L29" i="6" l="1"/>
  <c r="I24" i="13" s="1"/>
  <c r="R29" i="6"/>
  <c r="O24" i="13" s="1"/>
  <c r="I29" i="6"/>
  <c r="F24" i="13" s="1"/>
  <c r="P3" i="9"/>
  <c r="D3" i="13"/>
  <c r="G24" i="6"/>
  <c r="N24" i="6" s="1"/>
  <c r="K19" i="13" s="1"/>
  <c r="C19" i="13"/>
  <c r="G20" i="6"/>
  <c r="P20" i="6" s="1"/>
  <c r="M15" i="13" s="1"/>
  <c r="C15" i="13"/>
  <c r="G32" i="6"/>
  <c r="K32" i="6" s="1"/>
  <c r="H27" i="13" s="1"/>
  <c r="C27" i="13"/>
  <c r="G35" i="6"/>
  <c r="Q35" i="6" s="1"/>
  <c r="N30" i="13" s="1"/>
  <c r="C30" i="13"/>
  <c r="G30" i="6"/>
  <c r="L30" i="6" s="1"/>
  <c r="I25" i="13" s="1"/>
  <c r="C25" i="13"/>
  <c r="B26" i="6"/>
  <c r="B22" i="13"/>
  <c r="G34" i="6"/>
  <c r="O34" i="6" s="1"/>
  <c r="L29" i="13" s="1"/>
  <c r="C29" i="13"/>
  <c r="G14" i="6"/>
  <c r="J14" i="6" s="1"/>
  <c r="G9" i="13" s="1"/>
  <c r="C9" i="13"/>
  <c r="G26" i="6"/>
  <c r="P26" i="6" s="1"/>
  <c r="M21" i="13" s="1"/>
  <c r="C21" i="13"/>
  <c r="G23" i="6"/>
  <c r="P23" i="6" s="1"/>
  <c r="M18" i="13" s="1"/>
  <c r="C18" i="13"/>
  <c r="G18" i="6"/>
  <c r="R18" i="6" s="1"/>
  <c r="O13" i="13" s="1"/>
  <c r="C13" i="13"/>
  <c r="G19" i="6"/>
  <c r="L19" i="6" s="1"/>
  <c r="I14" i="13" s="1"/>
  <c r="C14" i="13"/>
  <c r="G17" i="6"/>
  <c r="R17" i="6" s="1"/>
  <c r="O12" i="13" s="1"/>
  <c r="C12" i="13"/>
  <c r="G22" i="6"/>
  <c r="O22" i="6" s="1"/>
  <c r="L17" i="13" s="1"/>
  <c r="C17" i="13"/>
  <c r="P29" i="6"/>
  <c r="M24" i="13" s="1"/>
  <c r="O29" i="6"/>
  <c r="L24" i="13" s="1"/>
  <c r="H29" i="6"/>
  <c r="E24" i="13" s="1"/>
  <c r="I33" i="13"/>
  <c r="G33" i="6"/>
  <c r="L33" i="6" s="1"/>
  <c r="I28" i="13" s="1"/>
  <c r="C28" i="13"/>
  <c r="G16" i="6"/>
  <c r="N16" i="6" s="1"/>
  <c r="K11" i="13" s="1"/>
  <c r="C11" i="13"/>
  <c r="G25" i="6"/>
  <c r="L25" i="6" s="1"/>
  <c r="I20" i="13" s="1"/>
  <c r="C20" i="13"/>
  <c r="G36" i="6"/>
  <c r="M36" i="6" s="1"/>
  <c r="J31" i="13" s="1"/>
  <c r="C31" i="13"/>
  <c r="G21" i="6"/>
  <c r="M21" i="6" s="1"/>
  <c r="J16" i="13" s="1"/>
  <c r="C16" i="13"/>
  <c r="G15" i="6"/>
  <c r="Q15" i="6" s="1"/>
  <c r="N10" i="13" s="1"/>
  <c r="C10" i="13"/>
  <c r="G13" i="6"/>
  <c r="K13" i="6" s="1"/>
  <c r="H8" i="13" s="1"/>
  <c r="C8" i="13"/>
  <c r="G27" i="6"/>
  <c r="H27" i="6" s="1"/>
  <c r="E22" i="13" s="1"/>
  <c r="C22" i="13"/>
  <c r="G31" i="6"/>
  <c r="Q31" i="6" s="1"/>
  <c r="N26" i="13" s="1"/>
  <c r="C26" i="13"/>
  <c r="G28" i="6"/>
  <c r="O28" i="6" s="1"/>
  <c r="L23" i="13" s="1"/>
  <c r="C23" i="13"/>
  <c r="B30" i="6"/>
  <c r="B26" i="13"/>
  <c r="J29" i="6"/>
  <c r="G24" i="13" s="1"/>
  <c r="K29" i="6"/>
  <c r="H24" i="13" s="1"/>
  <c r="Q29" i="6"/>
  <c r="N24" i="13" s="1"/>
  <c r="N29" i="6"/>
  <c r="K24" i="13" s="1"/>
  <c r="M29" i="6"/>
  <c r="J24" i="13" s="1"/>
  <c r="A23" i="6"/>
  <c r="B23" i="6" s="1"/>
  <c r="A16" i="6"/>
  <c r="B17" i="6" s="1"/>
  <c r="H25" i="6"/>
  <c r="E20" i="13" s="1"/>
  <c r="N26" i="6"/>
  <c r="K21" i="13" s="1"/>
  <c r="K31" i="6"/>
  <c r="H26" i="13" s="1"/>
  <c r="E15" i="9"/>
  <c r="E32" i="9"/>
  <c r="G32" i="9" s="1"/>
  <c r="E11" i="9"/>
  <c r="G11" i="9" s="1"/>
  <c r="E23" i="9"/>
  <c r="E22" i="9" s="1"/>
  <c r="E28" i="9"/>
  <c r="E27" i="9" s="1"/>
  <c r="G27" i="9" s="1"/>
  <c r="Q25" i="6" l="1"/>
  <c r="N20" i="13" s="1"/>
  <c r="I23" i="6"/>
  <c r="F18" i="13" s="1"/>
  <c r="I16" i="6"/>
  <c r="F11" i="13" s="1"/>
  <c r="H35" i="6"/>
  <c r="E30" i="13" s="1"/>
  <c r="O18" i="6"/>
  <c r="L13" i="13" s="1"/>
  <c r="M32" i="6"/>
  <c r="J27" i="13" s="1"/>
  <c r="O24" i="6"/>
  <c r="L19" i="13" s="1"/>
  <c r="K35" i="6"/>
  <c r="H30" i="13" s="1"/>
  <c r="I26" i="6"/>
  <c r="F21" i="13" s="1"/>
  <c r="P32" i="6"/>
  <c r="M27" i="13" s="1"/>
  <c r="I30" i="6"/>
  <c r="F25" i="13" s="1"/>
  <c r="P18" i="6"/>
  <c r="M13" i="13" s="1"/>
  <c r="J34" i="6"/>
  <c r="G29" i="13" s="1"/>
  <c r="R26" i="6"/>
  <c r="O21" i="13" s="1"/>
  <c r="Q30" i="6"/>
  <c r="N25" i="13" s="1"/>
  <c r="I36" i="6"/>
  <c r="F31" i="13" s="1"/>
  <c r="L18" i="6"/>
  <c r="I13" i="13" s="1"/>
  <c r="P24" i="6"/>
  <c r="M19" i="13" s="1"/>
  <c r="L36" i="6"/>
  <c r="I31" i="13" s="1"/>
  <c r="N34" i="6"/>
  <c r="K29" i="13" s="1"/>
  <c r="N17" i="6"/>
  <c r="K12" i="13" s="1"/>
  <c r="M17" i="6"/>
  <c r="J12" i="13" s="1"/>
  <c r="K18" i="6"/>
  <c r="H13" i="13" s="1"/>
  <c r="J26" i="6"/>
  <c r="G21" i="13" s="1"/>
  <c r="M26" i="6"/>
  <c r="J21" i="13" s="1"/>
  <c r="Q24" i="6"/>
  <c r="N19" i="13" s="1"/>
  <c r="I32" i="6"/>
  <c r="F27" i="13" s="1"/>
  <c r="L32" i="6"/>
  <c r="I27" i="13" s="1"/>
  <c r="I24" i="6"/>
  <c r="F19" i="13" s="1"/>
  <c r="Q32" i="6"/>
  <c r="N27" i="13" s="1"/>
  <c r="P17" i="6"/>
  <c r="M12" i="13" s="1"/>
  <c r="H32" i="6"/>
  <c r="E27" i="13" s="1"/>
  <c r="I34" i="6"/>
  <c r="F29" i="13" s="1"/>
  <c r="O17" i="6"/>
  <c r="L12" i="13" s="1"/>
  <c r="M18" i="6"/>
  <c r="J13" i="13" s="1"/>
  <c r="J17" i="6"/>
  <c r="G12" i="13" s="1"/>
  <c r="M16" i="6"/>
  <c r="J11" i="13" s="1"/>
  <c r="Q26" i="6"/>
  <c r="N21" i="13" s="1"/>
  <c r="K24" i="6"/>
  <c r="H19" i="13" s="1"/>
  <c r="J32" i="6"/>
  <c r="G27" i="13" s="1"/>
  <c r="N30" i="6"/>
  <c r="K25" i="13" s="1"/>
  <c r="P34" i="6"/>
  <c r="M29" i="13" s="1"/>
  <c r="P30" i="6"/>
  <c r="M25" i="13" s="1"/>
  <c r="L26" i="6"/>
  <c r="I21" i="13" s="1"/>
  <c r="R30" i="6"/>
  <c r="O25" i="13" s="1"/>
  <c r="L24" i="6"/>
  <c r="I19" i="13" s="1"/>
  <c r="Q27" i="6"/>
  <c r="N22" i="13" s="1"/>
  <c r="K34" i="6"/>
  <c r="H29" i="13" s="1"/>
  <c r="M27" i="6"/>
  <c r="J22" i="13" s="1"/>
  <c r="H18" i="6"/>
  <c r="E13" i="13" s="1"/>
  <c r="K17" i="6"/>
  <c r="H12" i="13" s="1"/>
  <c r="H34" i="6"/>
  <c r="E29" i="13" s="1"/>
  <c r="Q34" i="6"/>
  <c r="N29" i="13" s="1"/>
  <c r="L34" i="6"/>
  <c r="I29" i="13" s="1"/>
  <c r="R34" i="6"/>
  <c r="O29" i="13" s="1"/>
  <c r="J30" i="6"/>
  <c r="G25" i="13" s="1"/>
  <c r="O30" i="6"/>
  <c r="L25" i="13" s="1"/>
  <c r="O26" i="6"/>
  <c r="L21" i="13" s="1"/>
  <c r="H30" i="6"/>
  <c r="E25" i="13" s="1"/>
  <c r="R32" i="6"/>
  <c r="O27" i="13" s="1"/>
  <c r="R24" i="6"/>
  <c r="O19" i="13" s="1"/>
  <c r="N36" i="6"/>
  <c r="K31" i="13" s="1"/>
  <c r="O32" i="6"/>
  <c r="L27" i="13" s="1"/>
  <c r="I15" i="6"/>
  <c r="F10" i="13" s="1"/>
  <c r="R16" i="6"/>
  <c r="O11" i="13" s="1"/>
  <c r="I27" i="6"/>
  <c r="F22" i="13" s="1"/>
  <c r="P16" i="6"/>
  <c r="M11" i="13" s="1"/>
  <c r="H36" i="6"/>
  <c r="E31" i="13" s="1"/>
  <c r="R28" i="6"/>
  <c r="O23" i="13" s="1"/>
  <c r="M28" i="6"/>
  <c r="J23" i="13" s="1"/>
  <c r="O15" i="6"/>
  <c r="L10" i="13" s="1"/>
  <c r="K15" i="6"/>
  <c r="H10" i="13" s="1"/>
  <c r="K36" i="6"/>
  <c r="H31" i="13" s="1"/>
  <c r="N20" i="6"/>
  <c r="K15" i="13" s="1"/>
  <c r="N28" i="6"/>
  <c r="K23" i="13" s="1"/>
  <c r="L28" i="6"/>
  <c r="I23" i="13" s="1"/>
  <c r="R15" i="6"/>
  <c r="O10" i="13" s="1"/>
  <c r="H16" i="6"/>
  <c r="E11" i="13" s="1"/>
  <c r="L14" i="6"/>
  <c r="I9" i="13" s="1"/>
  <c r="R36" i="6"/>
  <c r="O31" i="13" s="1"/>
  <c r="P27" i="6"/>
  <c r="M22" i="13" s="1"/>
  <c r="Q28" i="6"/>
  <c r="N23" i="13" s="1"/>
  <c r="J19" i="6"/>
  <c r="G14" i="13" s="1"/>
  <c r="Q23" i="6"/>
  <c r="N18" i="13" s="1"/>
  <c r="H22" i="6"/>
  <c r="E17" i="13" s="1"/>
  <c r="M23" i="6"/>
  <c r="J18" i="13" s="1"/>
  <c r="M22" i="6"/>
  <c r="J17" i="13" s="1"/>
  <c r="M14" i="6"/>
  <c r="J9" i="13" s="1"/>
  <c r="L20" i="6"/>
  <c r="I15" i="13" s="1"/>
  <c r="N21" i="6"/>
  <c r="K16" i="13" s="1"/>
  <c r="I19" i="6"/>
  <c r="F14" i="13" s="1"/>
  <c r="I13" i="6"/>
  <c r="F8" i="13" s="1"/>
  <c r="M19" i="6"/>
  <c r="J14" i="13" s="1"/>
  <c r="L23" i="6"/>
  <c r="I18" i="13" s="1"/>
  <c r="H19" i="6"/>
  <c r="E14" i="13" s="1"/>
  <c r="M20" i="6"/>
  <c r="J15" i="13" s="1"/>
  <c r="J22" i="6"/>
  <c r="G17" i="13" s="1"/>
  <c r="N31" i="6"/>
  <c r="K26" i="13" s="1"/>
  <c r="J13" i="6"/>
  <c r="G8" i="13" s="1"/>
  <c r="N18" i="6"/>
  <c r="K13" i="13" s="1"/>
  <c r="Q17" i="6"/>
  <c r="N12" i="13" s="1"/>
  <c r="Q18" i="6"/>
  <c r="N13" i="13" s="1"/>
  <c r="N19" i="6"/>
  <c r="K14" i="13" s="1"/>
  <c r="K23" i="6"/>
  <c r="H18" i="13" s="1"/>
  <c r="H17" i="6"/>
  <c r="E12" i="13" s="1"/>
  <c r="L17" i="6"/>
  <c r="I12" i="13" s="1"/>
  <c r="K26" i="6"/>
  <c r="H21" i="13" s="1"/>
  <c r="I18" i="6"/>
  <c r="F13" i="13" s="1"/>
  <c r="P14" i="6"/>
  <c r="M9" i="13" s="1"/>
  <c r="I20" i="6"/>
  <c r="F15" i="13" s="1"/>
  <c r="I35" i="6"/>
  <c r="F30" i="13" s="1"/>
  <c r="K30" i="6"/>
  <c r="H25" i="13" s="1"/>
  <c r="R35" i="6"/>
  <c r="O30" i="13" s="1"/>
  <c r="H24" i="6"/>
  <c r="E19" i="13" s="1"/>
  <c r="J35" i="6"/>
  <c r="G30" i="13" s="1"/>
  <c r="J24" i="6"/>
  <c r="G19" i="13" s="1"/>
  <c r="O31" i="6"/>
  <c r="L26" i="13" s="1"/>
  <c r="P15" i="6"/>
  <c r="M10" i="13" s="1"/>
  <c r="J16" i="6"/>
  <c r="G11" i="13" s="1"/>
  <c r="K16" i="6"/>
  <c r="H11" i="13" s="1"/>
  <c r="J15" i="6"/>
  <c r="G10" i="13" s="1"/>
  <c r="I31" i="6"/>
  <c r="F26" i="13" s="1"/>
  <c r="O21" i="6"/>
  <c r="L16" i="13" s="1"/>
  <c r="J27" i="6"/>
  <c r="G22" i="13" s="1"/>
  <c r="O16" i="6"/>
  <c r="L11" i="13" s="1"/>
  <c r="H33" i="6"/>
  <c r="E28" i="13" s="1"/>
  <c r="Q36" i="6"/>
  <c r="N31" i="13" s="1"/>
  <c r="K27" i="6"/>
  <c r="H22" i="13" s="1"/>
  <c r="K28" i="6"/>
  <c r="H23" i="13" s="1"/>
  <c r="I28" i="6"/>
  <c r="F23" i="13" s="1"/>
  <c r="H15" i="6"/>
  <c r="E10" i="13" s="1"/>
  <c r="Q16" i="6"/>
  <c r="N11" i="13" s="1"/>
  <c r="N25" i="6"/>
  <c r="K20" i="13" s="1"/>
  <c r="R27" i="6"/>
  <c r="O22" i="13" s="1"/>
  <c r="M15" i="6"/>
  <c r="J10" i="13" s="1"/>
  <c r="L27" i="6"/>
  <c r="I22" i="13" s="1"/>
  <c r="O36" i="6"/>
  <c r="L31" i="13" s="1"/>
  <c r="O33" i="6"/>
  <c r="L28" i="13" s="1"/>
  <c r="P36" i="6"/>
  <c r="M31" i="13" s="1"/>
  <c r="P28" i="6"/>
  <c r="M23" i="13" s="1"/>
  <c r="O27" i="6"/>
  <c r="L22" i="13" s="1"/>
  <c r="S18" i="9"/>
  <c r="S11" i="9"/>
  <c r="T11" i="9" s="1"/>
  <c r="U11" i="9" s="1"/>
  <c r="Y24" i="9" s="1"/>
  <c r="S14" i="9"/>
  <c r="S22" i="9"/>
  <c r="S28" i="9"/>
  <c r="T28" i="9" s="1"/>
  <c r="U28" i="9" s="1"/>
  <c r="B15" i="6"/>
  <c r="B10" i="13" s="1"/>
  <c r="R13" i="6"/>
  <c r="O8" i="13" s="1"/>
  <c r="D8" i="13"/>
  <c r="I17" i="6"/>
  <c r="F12" i="13" s="1"/>
  <c r="D12" i="13"/>
  <c r="J18" i="6"/>
  <c r="G13" i="13" s="1"/>
  <c r="D13" i="13"/>
  <c r="H26" i="6"/>
  <c r="E21" i="13" s="1"/>
  <c r="D21" i="13"/>
  <c r="M34" i="6"/>
  <c r="J29" i="13" s="1"/>
  <c r="D29" i="13"/>
  <c r="M30" i="6"/>
  <c r="J25" i="13" s="1"/>
  <c r="D25" i="13"/>
  <c r="N32" i="6"/>
  <c r="K27" i="13" s="1"/>
  <c r="D27" i="13"/>
  <c r="M24" i="6"/>
  <c r="J19" i="13" s="1"/>
  <c r="D19" i="13"/>
  <c r="R25" i="6"/>
  <c r="O20" i="13" s="1"/>
  <c r="N13" i="6"/>
  <c r="K8" i="13" s="1"/>
  <c r="Q21" i="6"/>
  <c r="N16" i="13" s="1"/>
  <c r="H31" i="6"/>
  <c r="E26" i="13" s="1"/>
  <c r="L13" i="6"/>
  <c r="I8" i="13" s="1"/>
  <c r="K21" i="6"/>
  <c r="H16" i="13" s="1"/>
  <c r="J21" i="6"/>
  <c r="G16" i="13" s="1"/>
  <c r="J25" i="6"/>
  <c r="G20" i="13" s="1"/>
  <c r="M13" i="6"/>
  <c r="J8" i="13" s="1"/>
  <c r="L22" i="6"/>
  <c r="I17" i="13" s="1"/>
  <c r="Q19" i="6"/>
  <c r="N14" i="13" s="1"/>
  <c r="J23" i="6"/>
  <c r="G18" i="13" s="1"/>
  <c r="P22" i="6"/>
  <c r="M17" i="13" s="1"/>
  <c r="O23" i="6"/>
  <c r="L18" i="13" s="1"/>
  <c r="P13" i="6"/>
  <c r="M8" i="13" s="1"/>
  <c r="I22" i="6"/>
  <c r="F17" i="13" s="1"/>
  <c r="Q22" i="6"/>
  <c r="N17" i="13" s="1"/>
  <c r="H14" i="6"/>
  <c r="E9" i="13" s="1"/>
  <c r="K14" i="6"/>
  <c r="H9" i="13" s="1"/>
  <c r="I14" i="6"/>
  <c r="F9" i="13" s="1"/>
  <c r="J33" i="6"/>
  <c r="G28" i="13" s="1"/>
  <c r="N35" i="6"/>
  <c r="K30" i="13" s="1"/>
  <c r="K33" i="6"/>
  <c r="H28" i="13" s="1"/>
  <c r="I33" i="6"/>
  <c r="F28" i="13" s="1"/>
  <c r="J31" i="6"/>
  <c r="G26" i="13" s="1"/>
  <c r="B22" i="6"/>
  <c r="B18" i="13"/>
  <c r="B29" i="6"/>
  <c r="B24" i="13" s="1"/>
  <c r="B25" i="13"/>
  <c r="P31" i="6"/>
  <c r="M26" i="13" s="1"/>
  <c r="D26" i="13"/>
  <c r="L21" i="6"/>
  <c r="I16" i="13" s="1"/>
  <c r="D16" i="13"/>
  <c r="M25" i="6"/>
  <c r="J20" i="13" s="1"/>
  <c r="D20" i="13"/>
  <c r="R33" i="6"/>
  <c r="O28" i="13" s="1"/>
  <c r="D28" i="13"/>
  <c r="N22" i="6"/>
  <c r="K17" i="13" s="1"/>
  <c r="D17" i="13"/>
  <c r="R19" i="6"/>
  <c r="O14" i="13" s="1"/>
  <c r="D14" i="13"/>
  <c r="N23" i="6"/>
  <c r="K18" i="13" s="1"/>
  <c r="D18" i="13"/>
  <c r="Q14" i="6"/>
  <c r="N9" i="13" s="1"/>
  <c r="D9" i="13"/>
  <c r="B25" i="6"/>
  <c r="B20" i="13" s="1"/>
  <c r="B21" i="13"/>
  <c r="M35" i="6"/>
  <c r="J30" i="13" s="1"/>
  <c r="D30" i="13"/>
  <c r="O20" i="6"/>
  <c r="L15" i="13" s="1"/>
  <c r="D15" i="13"/>
  <c r="B18" i="6"/>
  <c r="B12" i="13"/>
  <c r="H28" i="6"/>
  <c r="E23" i="13" s="1"/>
  <c r="D23" i="13"/>
  <c r="J28" i="6"/>
  <c r="G23" i="13" s="1"/>
  <c r="N27" i="6"/>
  <c r="K22" i="13" s="1"/>
  <c r="D22" i="13"/>
  <c r="N15" i="6"/>
  <c r="K10" i="13" s="1"/>
  <c r="D10" i="13"/>
  <c r="L15" i="6"/>
  <c r="I10" i="13" s="1"/>
  <c r="J36" i="6"/>
  <c r="G31" i="13" s="1"/>
  <c r="D31" i="13"/>
  <c r="L16" i="6"/>
  <c r="I11" i="13" s="1"/>
  <c r="D11" i="13"/>
  <c r="M7" i="12"/>
  <c r="M8" i="12" s="1"/>
  <c r="N12" i="12" s="1"/>
  <c r="F23" i="12" s="1"/>
  <c r="L33" i="13"/>
  <c r="I21" i="6"/>
  <c r="F16" i="13" s="1"/>
  <c r="L31" i="6"/>
  <c r="I26" i="13" s="1"/>
  <c r="M33" i="6"/>
  <c r="J28" i="13" s="1"/>
  <c r="P33" i="6"/>
  <c r="M28" i="13" s="1"/>
  <c r="H13" i="6"/>
  <c r="E8" i="13" s="1"/>
  <c r="R21" i="6"/>
  <c r="O16" i="13" s="1"/>
  <c r="H21" i="6"/>
  <c r="E16" i="13" s="1"/>
  <c r="K25" i="6"/>
  <c r="H20" i="13" s="1"/>
  <c r="I25" i="6"/>
  <c r="F20" i="13" s="1"/>
  <c r="Q13" i="6"/>
  <c r="N8" i="13" s="1"/>
  <c r="P21" i="6"/>
  <c r="M16" i="13" s="1"/>
  <c r="K22" i="6"/>
  <c r="H17" i="13" s="1"/>
  <c r="K19" i="6"/>
  <c r="H14" i="13" s="1"/>
  <c r="H23" i="6"/>
  <c r="E18" i="13" s="1"/>
  <c r="P19" i="6"/>
  <c r="M14" i="13" s="1"/>
  <c r="R23" i="6"/>
  <c r="O18" i="13" s="1"/>
  <c r="O13" i="6"/>
  <c r="L8" i="13" s="1"/>
  <c r="R22" i="6"/>
  <c r="O17" i="13" s="1"/>
  <c r="O19" i="6"/>
  <c r="L14" i="13" s="1"/>
  <c r="R14" i="6"/>
  <c r="O9" i="13" s="1"/>
  <c r="O14" i="6"/>
  <c r="L9" i="13" s="1"/>
  <c r="P25" i="6"/>
  <c r="M20" i="13" s="1"/>
  <c r="J20" i="6"/>
  <c r="G15" i="13" s="1"/>
  <c r="N33" i="6"/>
  <c r="K28" i="13" s="1"/>
  <c r="H20" i="6"/>
  <c r="E15" i="13" s="1"/>
  <c r="Q20" i="6"/>
  <c r="N15" i="13" s="1"/>
  <c r="O25" i="6"/>
  <c r="L20" i="13" s="1"/>
  <c r="O35" i="6"/>
  <c r="L30" i="13" s="1"/>
  <c r="L35" i="6"/>
  <c r="I30" i="13" s="1"/>
  <c r="N14" i="6"/>
  <c r="K9" i="13" s="1"/>
  <c r="R20" i="6"/>
  <c r="O15" i="13" s="1"/>
  <c r="Q33" i="6"/>
  <c r="N28" i="13" s="1"/>
  <c r="K20" i="6"/>
  <c r="H15" i="13" s="1"/>
  <c r="P35" i="6"/>
  <c r="M30" i="13" s="1"/>
  <c r="M31" i="6"/>
  <c r="J26" i="13" s="1"/>
  <c r="R31" i="6"/>
  <c r="O26" i="13" s="1"/>
  <c r="G19" i="9"/>
  <c r="G23" i="9"/>
  <c r="G22" i="9" s="1"/>
  <c r="E14" i="9"/>
  <c r="G15" i="9"/>
  <c r="G14" i="9" s="1"/>
  <c r="G28" i="9"/>
  <c r="S23" i="9" l="1"/>
  <c r="T23" i="9" s="1"/>
  <c r="U23" i="9" s="1"/>
  <c r="Y27" i="9" s="1"/>
  <c r="T22" i="9"/>
  <c r="U22" i="9" s="1"/>
  <c r="S15" i="9"/>
  <c r="T15" i="9" s="1"/>
  <c r="T14" i="9"/>
  <c r="U14" i="9" s="1"/>
  <c r="U15" i="9" s="1"/>
  <c r="Y28" i="9"/>
  <c r="S27" i="9"/>
  <c r="T27" i="9" s="1"/>
  <c r="U27" i="9" s="1"/>
  <c r="T18" i="9"/>
  <c r="U18" i="9" s="1"/>
  <c r="S19" i="9"/>
  <c r="T19" i="9" s="1"/>
  <c r="U19" i="9" s="1"/>
  <c r="Y26" i="9" s="1"/>
  <c r="B14" i="6"/>
  <c r="B13" i="6" s="1"/>
  <c r="B8" i="13" s="1"/>
  <c r="B19" i="6"/>
  <c r="B14" i="13" s="1"/>
  <c r="B13" i="13"/>
  <c r="B21" i="6"/>
  <c r="B16" i="13" s="1"/>
  <c r="B17" i="13"/>
  <c r="I11" i="11"/>
  <c r="K37" i="13"/>
  <c r="B9" i="13" l="1"/>
  <c r="J27" i="11"/>
  <c r="M28" i="11" s="1"/>
  <c r="M29" i="11" s="1"/>
  <c r="M30" i="11" s="1"/>
  <c r="M31" i="11" s="1"/>
  <c r="Y25" i="9"/>
  <c r="I22" i="11"/>
  <c r="H27" i="11" s="1"/>
  <c r="H31" i="11"/>
  <c r="H30" i="11"/>
  <c r="I41" i="13" s="1"/>
  <c r="H29" i="11"/>
  <c r="I40" i="13" s="1"/>
  <c r="H28" i="11"/>
  <c r="I39" i="13" s="1"/>
</calcChain>
</file>

<file path=xl/comments1.xml><?xml version="1.0" encoding="utf-8"?>
<comments xmlns="http://schemas.openxmlformats.org/spreadsheetml/2006/main">
  <authors>
    <author>Jimmy Intriago</author>
  </authors>
  <commentList>
    <comment ref="H9" authorId="0" shapeId="0">
      <text>
        <r>
          <rPr>
            <b/>
            <sz val="9"/>
            <color indexed="81"/>
            <rFont val="Tahoma"/>
            <family val="2"/>
          </rPr>
          <t>Jimmy Intriago:</t>
        </r>
        <r>
          <rPr>
            <sz val="9"/>
            <color indexed="81"/>
            <rFont val="Tahoma"/>
            <family val="2"/>
          </rPr>
          <t xml:space="preserve">
este test se lo debe realizar despues de haber realizado el test para determinar la V.M.A del atleta . Ya que con este se busca determinar la capacidad de correr a nivel de V.O.2  que tiene nuestro deportista.</t>
        </r>
      </text>
    </comment>
  </commentList>
</comments>
</file>

<file path=xl/sharedStrings.xml><?xml version="1.0" encoding="utf-8"?>
<sst xmlns="http://schemas.openxmlformats.org/spreadsheetml/2006/main" count="357" uniqueCount="217">
  <si>
    <t>VMA</t>
  </si>
  <si>
    <t>UMB-AERO</t>
  </si>
  <si>
    <t>UMB-ANAERO</t>
  </si>
  <si>
    <t>VO2(MAX)</t>
  </si>
  <si>
    <t>VELOCIDAD</t>
  </si>
  <si>
    <t>KM/h</t>
  </si>
  <si>
    <t>m/s</t>
  </si>
  <si>
    <t>10m</t>
  </si>
  <si>
    <t>15m</t>
  </si>
  <si>
    <t>20m</t>
  </si>
  <si>
    <t>25m</t>
  </si>
  <si>
    <t>30m</t>
  </si>
  <si>
    <t>40m</t>
  </si>
  <si>
    <t>50m</t>
  </si>
  <si>
    <t>60m</t>
  </si>
  <si>
    <t>70m</t>
  </si>
  <si>
    <t>80m</t>
  </si>
  <si>
    <t>100m</t>
  </si>
  <si>
    <t>nivel</t>
  </si>
  <si>
    <t>Km/h</t>
  </si>
  <si>
    <t>TEST</t>
  </si>
  <si>
    <t>TIEMPO</t>
  </si>
  <si>
    <t>MTS</t>
  </si>
  <si>
    <t>JIMMY INTRIAGO</t>
  </si>
  <si>
    <t>METROS</t>
  </si>
  <si>
    <t>MINUTOS</t>
  </si>
  <si>
    <t>mts /s</t>
  </si>
  <si>
    <t>mt/s</t>
  </si>
  <si>
    <t>seg</t>
  </si>
  <si>
    <t>DISTANCIA DEL TEST</t>
  </si>
  <si>
    <t>GRASAS</t>
  </si>
  <si>
    <t>H.C</t>
  </si>
  <si>
    <t>FOSFAGENO</t>
  </si>
  <si>
    <t>GLUCOGENO</t>
  </si>
  <si>
    <t>FOSFAGENOS</t>
  </si>
  <si>
    <t>F.C</t>
  </si>
  <si>
    <t>VMA final</t>
  </si>
  <si>
    <t xml:space="preserve">VMA inicial </t>
  </si>
  <si>
    <t>km/h</t>
  </si>
  <si>
    <t xml:space="preserve">DISTANCIA DE VUELTA </t>
  </si>
  <si>
    <t xml:space="preserve">FRECUENCIA CARDIACA MAXIMA </t>
  </si>
  <si>
    <t xml:space="preserve"> POR MIN</t>
  </si>
  <si>
    <t>LAKTATO</t>
  </si>
  <si>
    <t>&lt; 2milimoles.</t>
  </si>
  <si>
    <t>4 milimoles</t>
  </si>
  <si>
    <t>8 milimoles</t>
  </si>
  <si>
    <t>5 milimoles</t>
  </si>
  <si>
    <t>6 milimoles</t>
  </si>
  <si>
    <t>7milimoles</t>
  </si>
  <si>
    <t>3 milimoles</t>
  </si>
  <si>
    <t>FINAL</t>
  </si>
  <si>
    <t>INICIAL</t>
  </si>
  <si>
    <t xml:space="preserve">distancia que quiere realizar la vuelta </t>
  </si>
  <si>
    <t>mts</t>
  </si>
  <si>
    <t>radio</t>
  </si>
  <si>
    <t>mts la vuelta</t>
  </si>
  <si>
    <t>8-14 MILIMOLES</t>
  </si>
  <si>
    <t>UNBRAL AEROBICO</t>
  </si>
  <si>
    <t>VO2 ( POTENCIA AEROBICA)</t>
  </si>
  <si>
    <t xml:space="preserve">ANAEROBICA LACTICA </t>
  </si>
  <si>
    <t xml:space="preserve">ANAEROBICA ALACTICA </t>
  </si>
  <si>
    <t>NOMBRE DEL DEPORTISTA</t>
  </si>
  <si>
    <t xml:space="preserve">PAUSA </t>
  </si>
  <si>
    <t>METODO</t>
  </si>
  <si>
    <t>5-30 MIN</t>
  </si>
  <si>
    <t>5-30 SEG</t>
  </si>
  <si>
    <t>CONTINUO</t>
  </si>
  <si>
    <t>REPETICION</t>
  </si>
  <si>
    <t>INTERVALO</t>
  </si>
  <si>
    <t>5-90 MIN</t>
  </si>
  <si>
    <t xml:space="preserve">REPETICION </t>
  </si>
  <si>
    <t>5-20 MIN</t>
  </si>
  <si>
    <t>FARTLEK</t>
  </si>
  <si>
    <t>180 SEG SERIE</t>
  </si>
  <si>
    <t>5-25 MIN</t>
  </si>
  <si>
    <t xml:space="preserve">1-6 MIN </t>
  </si>
  <si>
    <t>REPETICIONES</t>
  </si>
  <si>
    <t>5-180 SEG</t>
  </si>
  <si>
    <t xml:space="preserve">DISTANCIA RECORRIDA </t>
  </si>
  <si>
    <t xml:space="preserve">TIEMPO </t>
  </si>
  <si>
    <t xml:space="preserve">CALIFICACION </t>
  </si>
  <si>
    <t>min</t>
  </si>
  <si>
    <t xml:space="preserve">tiempo de recuperacion </t>
  </si>
  <si>
    <t xml:space="preserve">2 series de </t>
  </si>
  <si>
    <t>1)</t>
  </si>
  <si>
    <t>2)</t>
  </si>
  <si>
    <t>3)</t>
  </si>
  <si>
    <t>4)</t>
  </si>
  <si>
    <t>5)</t>
  </si>
  <si>
    <t>micro pausa de</t>
  </si>
  <si>
    <t xml:space="preserve">Ejemplo de trabajo de resistencia aerobica en </t>
  </si>
  <si>
    <t xml:space="preserve">Capacidad aerobica total </t>
  </si>
  <si>
    <t>mts.</t>
  </si>
  <si>
    <t>segundos.</t>
  </si>
  <si>
    <t>H. C</t>
  </si>
  <si>
    <t>H.C Y GRASAS</t>
  </si>
  <si>
    <t>VO2</t>
  </si>
  <si>
    <t>KCAL / MIN</t>
  </si>
  <si>
    <t>KCAL/MIN</t>
  </si>
  <si>
    <t>PESO</t>
  </si>
  <si>
    <t>PESO DEL DEPORTISTA</t>
  </si>
  <si>
    <t>VO2 MAX DEL DEPORTISTA</t>
  </si>
  <si>
    <t>KG</t>
  </si>
  <si>
    <t>ML.KG.MIN</t>
  </si>
  <si>
    <t>kcal</t>
  </si>
  <si>
    <t>test para determinar la capacidad de un atleta de correr a nivel de vo2</t>
  </si>
  <si>
    <t>V.M.A</t>
  </si>
  <si>
    <t>segundos</t>
  </si>
  <si>
    <t xml:space="preserve">Tiempo por vuelta </t>
  </si>
  <si>
    <t>maximo</t>
  </si>
  <si>
    <t>minimo</t>
  </si>
  <si>
    <t>frecuencia cardiaca para iniciar un nuevo esfuerzo</t>
  </si>
  <si>
    <t>tiempo de recuperacion</t>
  </si>
  <si>
    <t>tiempo total que demora en zona de V.O.2</t>
  </si>
  <si>
    <t xml:space="preserve">distancia total recorrida </t>
  </si>
  <si>
    <t>VUELTAS</t>
  </si>
  <si>
    <t xml:space="preserve">DISTANCIA </t>
  </si>
  <si>
    <t xml:space="preserve">1   repeticion de </t>
  </si>
  <si>
    <t xml:space="preserve">2 repeticiones de </t>
  </si>
  <si>
    <t>2  series de</t>
  </si>
  <si>
    <t xml:space="preserve">3 repeticiones de </t>
  </si>
  <si>
    <t xml:space="preserve">4 repeticiones de </t>
  </si>
  <si>
    <t xml:space="preserve">5 repeticiones de </t>
  </si>
  <si>
    <t>ml.min.kg</t>
  </si>
  <si>
    <t>V.M.A       (V.A.M)</t>
  </si>
  <si>
    <t xml:space="preserve">TIEMPO POR VUELTA </t>
  </si>
  <si>
    <t>VO2 MAX</t>
  </si>
  <si>
    <t xml:space="preserve">Distancia que Quiere Realizar la Vuelta </t>
  </si>
  <si>
    <t xml:space="preserve"> GRASAS e H.C</t>
  </si>
  <si>
    <t>REGENE</t>
  </si>
  <si>
    <t xml:space="preserve">Via Energetica </t>
  </si>
  <si>
    <t>Tipo de Trabajo</t>
  </si>
  <si>
    <t>Distancias en Metros</t>
  </si>
  <si>
    <t>a6</t>
  </si>
  <si>
    <t>a5</t>
  </si>
  <si>
    <t>a4</t>
  </si>
  <si>
    <t>a3</t>
  </si>
  <si>
    <t>a2</t>
  </si>
  <si>
    <t>a1</t>
  </si>
  <si>
    <t>GLUCOGENO e H.C</t>
  </si>
  <si>
    <t xml:space="preserve"> kcal / min</t>
  </si>
  <si>
    <t>A1 bajo</t>
  </si>
  <si>
    <t>A1 medio</t>
  </si>
  <si>
    <t>A1 alto</t>
  </si>
  <si>
    <t>A1 maximo</t>
  </si>
  <si>
    <t>A2 bajo</t>
  </si>
  <si>
    <t>A2 medio</t>
  </si>
  <si>
    <t>A2 alto</t>
  </si>
  <si>
    <t>A2 maximo</t>
  </si>
  <si>
    <t>A3 bajo</t>
  </si>
  <si>
    <t>A3 medio</t>
  </si>
  <si>
    <t>A3 alto</t>
  </si>
  <si>
    <t>A3 maximo</t>
  </si>
  <si>
    <t>A4 bajo</t>
  </si>
  <si>
    <t>A4 medio</t>
  </si>
  <si>
    <t>A4 alto</t>
  </si>
  <si>
    <t>A4 maximo</t>
  </si>
  <si>
    <t>A5 bajo</t>
  </si>
  <si>
    <t>A5 medio</t>
  </si>
  <si>
    <t>A5 alto</t>
  </si>
  <si>
    <t>A5 maximo</t>
  </si>
  <si>
    <t>A6 bajo</t>
  </si>
  <si>
    <t>A6 medio</t>
  </si>
  <si>
    <t>A6 alto</t>
  </si>
  <si>
    <t>A6 maximo</t>
  </si>
  <si>
    <t>kg</t>
  </si>
  <si>
    <t>ml.kg.min</t>
  </si>
  <si>
    <t>por min</t>
  </si>
  <si>
    <t>FC</t>
  </si>
  <si>
    <t>TRABAJO</t>
  </si>
  <si>
    <t>A1</t>
  </si>
  <si>
    <t>A2</t>
  </si>
  <si>
    <t>A3</t>
  </si>
  <si>
    <t>A4</t>
  </si>
  <si>
    <t>A5</t>
  </si>
  <si>
    <t>A6</t>
  </si>
  <si>
    <t>300 m</t>
  </si>
  <si>
    <t>200 m</t>
  </si>
  <si>
    <t>400 m</t>
  </si>
  <si>
    <t>500 m</t>
  </si>
  <si>
    <t>600 m</t>
  </si>
  <si>
    <t>700 m</t>
  </si>
  <si>
    <t>800 m</t>
  </si>
  <si>
    <t>900 m</t>
  </si>
  <si>
    <t>1000 m</t>
  </si>
  <si>
    <t>1100 m</t>
  </si>
  <si>
    <t>segundos,</t>
  </si>
  <si>
    <t>min .</t>
  </si>
  <si>
    <t xml:space="preserve">Calificacion </t>
  </si>
  <si>
    <t>CAPACIDAD DE VO2</t>
  </si>
  <si>
    <t xml:space="preserve">Distancia que realizo la vuelta </t>
  </si>
  <si>
    <t>Frecuencia cardiaca para iniciar un nuevo esfuerzo</t>
  </si>
  <si>
    <t>Tiempo total que demora en zona de V.O.2</t>
  </si>
  <si>
    <t>.  tiempo de recuperacion es</t>
  </si>
  <si>
    <t>.</t>
  </si>
  <si>
    <t>Nombre del Deportista:</t>
  </si>
  <si>
    <t>Peso del Deportista:</t>
  </si>
  <si>
    <t>VO2 Max del Deportista:</t>
  </si>
  <si>
    <t>Distancia del Test:</t>
  </si>
  <si>
    <t>Tiempo:</t>
  </si>
  <si>
    <t>Frecuencia Cardiaca Maxima :</t>
  </si>
  <si>
    <t>V.M.A  (V.A.M):</t>
  </si>
  <si>
    <t>Tiempo por Vuelta:</t>
  </si>
  <si>
    <t>GRAFICO DE RESULTADOS TEST 1000 MTS</t>
  </si>
  <si>
    <t>INTRODUZCA LOS VALORES MEDIDOS</t>
  </si>
  <si>
    <t>Radio</t>
  </si>
  <si>
    <t>mts la vuelta.</t>
  </si>
  <si>
    <t>Nivel</t>
  </si>
  <si>
    <t>ANAEROBIO L.</t>
  </si>
  <si>
    <t>M/s</t>
  </si>
  <si>
    <t>TIEMPO PARA CADA UNA DE LAS ZONAS.</t>
  </si>
  <si>
    <t>ANAEROBICO     H.C</t>
  </si>
  <si>
    <t>RECUPERACION  GRASAS</t>
  </si>
  <si>
    <t>RESULTADOS DE LA PRUEBA DE TRABAJO A NIVEL DE VO2.</t>
  </si>
  <si>
    <t>AUTOR;</t>
  </si>
  <si>
    <t>JIMMY  INTRIAGO</t>
  </si>
  <si>
    <t>ji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</si>
</sst>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0"/>
    <numFmt numFmtId="166" formatCode="[$-F400]h:mm:ss\ AM/PM"/>
  </numFmts>
  <fonts count="54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10"/>
      <color theme="0"/>
      <name val="Arial"/>
      <family val="2"/>
    </font>
    <font>
      <sz val="10"/>
      <color rgb="FFFF0000"/>
      <name val="Arial"/>
      <family val="2"/>
    </font>
    <font>
      <b/>
      <i/>
      <u/>
      <sz val="10"/>
      <name val="Calibri"/>
      <family val="2"/>
      <scheme val="minor"/>
    </font>
    <font>
      <sz val="10"/>
      <color theme="3" tint="0.79998168889431442"/>
      <name val="Arial"/>
      <family val="2"/>
    </font>
    <font>
      <b/>
      <i/>
      <u/>
      <sz val="16"/>
      <color rgb="FFC00000"/>
      <name val="Algerian"/>
      <family val="5"/>
    </font>
    <font>
      <b/>
      <i/>
      <u/>
      <sz val="10"/>
      <color theme="0"/>
      <name val="Bodoni MT Black"/>
      <family val="1"/>
    </font>
    <font>
      <sz val="10"/>
      <color theme="1" tint="0.3499862666707357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u/>
      <sz val="10"/>
      <name val="Arial"/>
      <family val="2"/>
    </font>
    <font>
      <sz val="10"/>
      <color rgb="FFFF0000"/>
      <name val="Arial"/>
    </font>
    <font>
      <sz val="10"/>
      <color rgb="FFFF0000"/>
      <name val="AcmeFont"/>
    </font>
    <font>
      <sz val="10"/>
      <color rgb="FFFF0000"/>
      <name val="Tarzan"/>
    </font>
    <font>
      <sz val="10"/>
      <color rgb="FFFF0000"/>
      <name val="Amethyst"/>
    </font>
    <font>
      <b/>
      <i/>
      <sz val="10"/>
      <color rgb="FFFF0000"/>
      <name val="Calibri"/>
      <family val="2"/>
      <scheme val="minor"/>
    </font>
    <font>
      <sz val="10"/>
      <color rgb="FFFF0000"/>
      <name val="BolsterBold"/>
    </font>
    <font>
      <sz val="10"/>
      <name val="Aharoni"/>
      <charset val="177"/>
    </font>
    <font>
      <b/>
      <i/>
      <sz val="10"/>
      <name val="Bradley Hand ITC"/>
      <family val="4"/>
    </font>
    <font>
      <b/>
      <i/>
      <u/>
      <sz val="10"/>
      <name val="Bradley Hand ITC"/>
      <family val="4"/>
    </font>
    <font>
      <b/>
      <i/>
      <u/>
      <sz val="9"/>
      <name val="Arial"/>
      <family val="2"/>
    </font>
    <font>
      <b/>
      <i/>
      <sz val="9"/>
      <name val="Arial"/>
      <family val="2"/>
    </font>
    <font>
      <sz val="28"/>
      <name val="Algerian"/>
      <family val="5"/>
    </font>
    <font>
      <b/>
      <sz val="9"/>
      <color rgb="FFFF0000"/>
      <name val="Arial"/>
      <family val="2"/>
    </font>
    <font>
      <sz val="14"/>
      <color rgb="FF00B0F0"/>
      <name val="Algerian"/>
      <family val="5"/>
    </font>
    <font>
      <b/>
      <i/>
      <sz val="10"/>
      <name val="Agency FB"/>
      <family val="2"/>
    </font>
    <font>
      <b/>
      <i/>
      <sz val="16"/>
      <name val="Castellar"/>
      <family val="1"/>
    </font>
    <font>
      <b/>
      <i/>
      <sz val="10"/>
      <name val="Calibri"/>
      <family val="2"/>
      <scheme val="minor"/>
    </font>
    <font>
      <sz val="10"/>
      <name val="Tarzan"/>
    </font>
    <font>
      <b/>
      <i/>
      <sz val="20"/>
      <name val="Amienne"/>
      <family val="5"/>
    </font>
    <font>
      <b/>
      <i/>
      <u/>
      <sz val="20"/>
      <name val="Amienne"/>
      <family val="5"/>
    </font>
    <font>
      <b/>
      <i/>
      <sz val="12"/>
      <name val="Arial"/>
      <family val="2"/>
    </font>
    <font>
      <b/>
      <i/>
      <sz val="14"/>
      <name val="Arial"/>
      <family val="2"/>
    </font>
    <font>
      <b/>
      <i/>
      <sz val="8"/>
      <name val="Arial"/>
      <family val="2"/>
    </font>
    <font>
      <b/>
      <i/>
      <sz val="13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color theme="4" tint="0.79998168889431442"/>
      <name val="Arial"/>
      <family val="2"/>
    </font>
    <font>
      <b/>
      <sz val="10"/>
      <color theme="4" tint="0.79998168889431442"/>
      <name val="Arial"/>
      <family val="2"/>
    </font>
    <font>
      <b/>
      <sz val="10"/>
      <color theme="4" tint="0.79998168889431442"/>
      <name val="Tahoma"/>
      <family val="2"/>
    </font>
    <font>
      <b/>
      <i/>
      <sz val="20"/>
      <name val="Arial"/>
      <family val="2"/>
    </font>
    <font>
      <b/>
      <i/>
      <u/>
      <sz val="14"/>
      <name val="Arial"/>
      <family val="2"/>
    </font>
    <font>
      <b/>
      <i/>
      <u/>
      <sz val="16"/>
      <name val="Arial"/>
      <family val="2"/>
    </font>
    <font>
      <b/>
      <i/>
      <u/>
      <sz val="11"/>
      <name val="Arial"/>
      <family val="2"/>
    </font>
    <font>
      <b/>
      <i/>
      <u/>
      <sz val="22"/>
      <name val="Amienne"/>
      <family val="5"/>
    </font>
  </fonts>
  <fills count="2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3DF61E"/>
        <bgColor indexed="64"/>
      </patternFill>
    </fill>
    <fill>
      <patternFill patternType="solid">
        <fgColor rgb="FFFFC0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00B0F0"/>
        </stop>
      </gradientFill>
    </fill>
    <fill>
      <gradientFill degree="270">
        <stop position="0">
          <color theme="0"/>
        </stop>
        <stop position="1">
          <color rgb="FF00B0F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gradientFill degree="90">
        <stop position="0">
          <color theme="0"/>
        </stop>
        <stop position="0.5">
          <color rgb="FF00B0F0"/>
        </stop>
        <stop position="1">
          <color theme="0"/>
        </stop>
      </gradientFill>
    </fill>
    <fill>
      <patternFill patternType="solid">
        <fgColor theme="4" tint="0.79998168889431442"/>
        <bgColor indexed="64"/>
      </patternFill>
    </fill>
    <fill>
      <gradientFill degree="270">
        <stop position="0">
          <color theme="0"/>
        </stop>
        <stop position="1">
          <color theme="8" tint="0.40000610370189521"/>
        </stop>
      </gradientFill>
    </fill>
    <fill>
      <gradientFill degree="90">
        <stop position="0">
          <color theme="0"/>
        </stop>
        <stop position="0.5">
          <color rgb="FFFFFF00"/>
        </stop>
        <stop position="1">
          <color theme="0"/>
        </stop>
      </gradientFill>
    </fill>
    <fill>
      <gradientFill degree="90">
        <stop position="0">
          <color theme="0"/>
        </stop>
        <stop position="0.5">
          <color theme="9" tint="0.40000610370189521"/>
        </stop>
        <stop position="1">
          <color theme="0"/>
        </stop>
      </gradientFill>
    </fill>
    <fill>
      <gradientFill degree="90">
        <stop position="0">
          <color theme="0"/>
        </stop>
        <stop position="0.5">
          <color rgb="FF3DF61E"/>
        </stop>
        <stop position="1">
          <color theme="0"/>
        </stop>
      </gradientFill>
    </fill>
    <fill>
      <gradientFill type="path" left="0.5" right="0.5" top="0.5" bottom="0.5">
        <stop position="0">
          <color theme="0"/>
        </stop>
        <stop position="1">
          <color theme="8" tint="-0.25098422193060094"/>
        </stop>
      </gradientFill>
    </fill>
    <fill>
      <patternFill patternType="solid">
        <fgColor rgb="FF0070C0"/>
        <bgColor indexed="64"/>
      </patternFill>
    </fill>
    <fill>
      <patternFill patternType="solid">
        <fgColor rgb="FFFF0066"/>
        <bgColor indexed="64"/>
      </patternFill>
    </fill>
    <fill>
      <gradientFill degree="270">
        <stop position="0">
          <color theme="0"/>
        </stop>
        <stop position="1">
          <color rgb="FFFF0066"/>
        </stop>
      </gradientFill>
    </fill>
    <fill>
      <gradientFill degree="270">
        <stop position="0">
          <color theme="0"/>
        </stop>
        <stop position="1">
          <color rgb="FFFFC000"/>
        </stop>
      </gradientFill>
    </fill>
    <fill>
      <gradientFill degree="270">
        <stop position="0">
          <color theme="0"/>
        </stop>
        <stop position="1">
          <color rgb="FFFFFF00"/>
        </stop>
      </gradientFill>
    </fill>
    <fill>
      <gradientFill degree="270">
        <stop position="0">
          <color theme="0"/>
        </stop>
        <stop position="1">
          <color rgb="FF0070C0"/>
        </stop>
      </gradientFill>
    </fill>
    <fill>
      <gradientFill degree="270">
        <stop position="0">
          <color theme="0"/>
        </stop>
        <stop position="1">
          <color rgb="FF3DF61E"/>
        </stop>
      </gradient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/>
      <bottom/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/>
      <bottom/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theme="0"/>
      </bottom>
      <diagonal/>
    </border>
    <border>
      <left/>
      <right/>
      <top style="medium">
        <color theme="1"/>
      </top>
      <bottom style="medium">
        <color theme="0"/>
      </bottom>
      <diagonal/>
    </border>
    <border>
      <left/>
      <right style="medium">
        <color theme="0"/>
      </right>
      <top style="medium">
        <color theme="1"/>
      </top>
      <bottom style="medium">
        <color theme="0"/>
      </bottom>
      <diagonal/>
    </border>
    <border>
      <left style="medium">
        <color theme="0" tint="-4.9989318521683403E-2"/>
      </left>
      <right style="medium">
        <color indexed="64"/>
      </right>
      <top style="medium">
        <color auto="1"/>
      </top>
      <bottom style="medium">
        <color theme="0" tint="-4.9989318521683403E-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622">
    <xf numFmtId="0" fontId="0" fillId="0" borderId="0" xfId="0"/>
    <xf numFmtId="0" fontId="0" fillId="3" borderId="0" xfId="0" applyFill="1"/>
    <xf numFmtId="0" fontId="0" fillId="2" borderId="0" xfId="0" applyFill="1"/>
    <xf numFmtId="0" fontId="7" fillId="3" borderId="0" xfId="0" applyFont="1" applyFill="1"/>
    <xf numFmtId="0" fontId="7" fillId="2" borderId="0" xfId="0" applyFont="1" applyFill="1" applyBorder="1"/>
    <xf numFmtId="0" fontId="7" fillId="2" borderId="0" xfId="0" applyFont="1" applyFill="1" applyBorder="1" applyAlignment="1"/>
    <xf numFmtId="0" fontId="0" fillId="2" borderId="6" xfId="0" applyFill="1" applyBorder="1"/>
    <xf numFmtId="0" fontId="4" fillId="3" borderId="0" xfId="0" applyFont="1" applyFill="1"/>
    <xf numFmtId="0" fontId="0" fillId="3" borderId="0" xfId="0" applyFill="1" applyAlignment="1">
      <alignment horizontal="center"/>
    </xf>
    <xf numFmtId="0" fontId="0" fillId="7" borderId="0" xfId="0" applyFill="1"/>
    <xf numFmtId="164" fontId="0" fillId="7" borderId="0" xfId="0" applyNumberFormat="1" applyFill="1"/>
    <xf numFmtId="0" fontId="15" fillId="7" borderId="0" xfId="0" applyFont="1" applyFill="1"/>
    <xf numFmtId="2" fontId="16" fillId="7" borderId="0" xfId="0" applyNumberFormat="1" applyFont="1" applyFill="1"/>
    <xf numFmtId="0" fontId="16" fillId="7" borderId="0" xfId="0" applyFont="1" applyFill="1"/>
    <xf numFmtId="1" fontId="16" fillId="7" borderId="0" xfId="0" applyNumberFormat="1" applyFont="1" applyFill="1"/>
    <xf numFmtId="0" fontId="0" fillId="2" borderId="18" xfId="0" applyFill="1" applyBorder="1"/>
    <xf numFmtId="0" fontId="4" fillId="3" borderId="0" xfId="0" applyFont="1" applyFill="1" applyAlignment="1">
      <alignment horizontal="center" vertical="center"/>
    </xf>
    <xf numFmtId="0" fontId="26" fillId="3" borderId="0" xfId="0" applyFont="1" applyFill="1" applyBorder="1" applyAlignment="1">
      <alignment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1" fontId="0" fillId="3" borderId="1" xfId="0" applyNumberFormat="1" applyFill="1" applyBorder="1" applyAlignment="1">
      <alignment horizontal="center" vertical="center"/>
    </xf>
    <xf numFmtId="2" fontId="0" fillId="3" borderId="1" xfId="0" applyNumberFormat="1" applyFill="1" applyBorder="1" applyAlignment="1">
      <alignment horizontal="center" vertical="center"/>
    </xf>
    <xf numFmtId="166" fontId="0" fillId="3" borderId="1" xfId="0" applyNumberFormat="1" applyFill="1" applyBorder="1" applyAlignment="1">
      <alignment horizontal="center" vertical="center"/>
    </xf>
    <xf numFmtId="166" fontId="0" fillId="3" borderId="34" xfId="0" applyNumberFormat="1" applyFill="1" applyBorder="1" applyAlignment="1">
      <alignment horizontal="center" vertical="center"/>
    </xf>
    <xf numFmtId="1" fontId="0" fillId="3" borderId="36" xfId="0" applyNumberFormat="1" applyFill="1" applyBorder="1" applyAlignment="1">
      <alignment horizontal="center" vertical="center"/>
    </xf>
    <xf numFmtId="2" fontId="0" fillId="3" borderId="36" xfId="0" applyNumberFormat="1" applyFill="1" applyBorder="1" applyAlignment="1">
      <alignment horizontal="center" vertical="center"/>
    </xf>
    <xf numFmtId="166" fontId="0" fillId="3" borderId="36" xfId="0" applyNumberFormat="1" applyFill="1" applyBorder="1" applyAlignment="1">
      <alignment horizontal="center" vertical="center"/>
    </xf>
    <xf numFmtId="166" fontId="0" fillId="3" borderId="37" xfId="0" applyNumberFormat="1" applyFill="1" applyBorder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1" fontId="4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1" fontId="9" fillId="3" borderId="0" xfId="0" applyNumberFormat="1" applyFont="1" applyFill="1" applyAlignment="1">
      <alignment horizontal="left" vertical="center"/>
    </xf>
    <xf numFmtId="1" fontId="9" fillId="3" borderId="0" xfId="0" applyNumberFormat="1" applyFont="1" applyFill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/>
    </xf>
    <xf numFmtId="0" fontId="32" fillId="3" borderId="31" xfId="0" applyFont="1" applyFill="1" applyBorder="1" applyAlignment="1">
      <alignment horizontal="center" vertical="center"/>
    </xf>
    <xf numFmtId="0" fontId="32" fillId="3" borderId="32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1" fontId="0" fillId="3" borderId="29" xfId="0" applyNumberFormat="1" applyFill="1" applyBorder="1" applyAlignment="1">
      <alignment horizontal="center" vertical="center"/>
    </xf>
    <xf numFmtId="2" fontId="0" fillId="3" borderId="4" xfId="0" applyNumberFormat="1" applyFill="1" applyBorder="1" applyAlignment="1">
      <alignment horizontal="center" vertical="center"/>
    </xf>
    <xf numFmtId="0" fontId="20" fillId="0" borderId="0" xfId="0" applyFont="1" applyFill="1"/>
    <xf numFmtId="0" fontId="20" fillId="0" borderId="0" xfId="0" applyFont="1" applyFill="1" applyProtection="1">
      <protection locked="0"/>
    </xf>
    <xf numFmtId="0" fontId="22" fillId="8" borderId="0" xfId="0" applyFont="1" applyFill="1" applyBorder="1" applyAlignment="1">
      <alignment horizontal="center" vertical="center"/>
    </xf>
    <xf numFmtId="0" fontId="22" fillId="8" borderId="11" xfId="0" applyFont="1" applyFill="1" applyBorder="1" applyAlignment="1">
      <alignment horizontal="center" vertical="center"/>
    </xf>
    <xf numFmtId="0" fontId="22" fillId="8" borderId="0" xfId="0" applyFont="1" applyFill="1" applyBorder="1" applyAlignment="1" applyProtection="1">
      <alignment horizontal="center" vertical="center"/>
      <protection locked="0"/>
    </xf>
    <xf numFmtId="0" fontId="26" fillId="8" borderId="0" xfId="0" applyFont="1" applyFill="1" applyBorder="1" applyAlignment="1">
      <alignment horizontal="center" vertical="center"/>
    </xf>
    <xf numFmtId="0" fontId="24" fillId="8" borderId="0" xfId="0" applyFont="1" applyFill="1" applyBorder="1" applyAlignment="1" applyProtection="1">
      <alignment horizontal="center" vertical="center"/>
      <protection locked="0"/>
    </xf>
    <xf numFmtId="0" fontId="28" fillId="8" borderId="0" xfId="0" applyFont="1" applyFill="1" applyBorder="1" applyAlignment="1">
      <alignment horizontal="left" vertical="center"/>
    </xf>
    <xf numFmtId="0" fontId="27" fillId="8" borderId="11" xfId="0" applyFont="1" applyFill="1" applyBorder="1" applyAlignment="1">
      <alignment horizontal="left" vertical="center"/>
    </xf>
    <xf numFmtId="0" fontId="20" fillId="8" borderId="0" xfId="0" applyFont="1" applyFill="1" applyBorder="1" applyAlignment="1" applyProtection="1">
      <protection locked="0"/>
    </xf>
    <xf numFmtId="0" fontId="20" fillId="8" borderId="0" xfId="0" applyFont="1" applyFill="1" applyBorder="1" applyAlignment="1" applyProtection="1">
      <alignment horizontal="center"/>
      <protection locked="0"/>
    </xf>
    <xf numFmtId="0" fontId="27" fillId="8" borderId="0" xfId="0" applyFont="1" applyFill="1" applyBorder="1" applyAlignment="1">
      <alignment horizontal="left" vertical="center"/>
    </xf>
    <xf numFmtId="0" fontId="23" fillId="8" borderId="6" xfId="0" applyFont="1" applyFill="1" applyBorder="1" applyAlignment="1">
      <alignment vertical="center"/>
    </xf>
    <xf numFmtId="0" fontId="20" fillId="8" borderId="6" xfId="0" applyFont="1" applyFill="1" applyBorder="1" applyAlignment="1">
      <alignment horizontal="center"/>
    </xf>
    <xf numFmtId="0" fontId="25" fillId="8" borderId="6" xfId="0" applyFont="1" applyFill="1" applyBorder="1" applyAlignment="1">
      <alignment vertical="center"/>
    </xf>
    <xf numFmtId="0" fontId="25" fillId="8" borderId="7" xfId="0" applyFont="1" applyFill="1" applyBorder="1" applyAlignment="1">
      <alignment vertical="center"/>
    </xf>
    <xf numFmtId="0" fontId="19" fillId="8" borderId="11" xfId="0" applyFont="1" applyFill="1" applyBorder="1" applyAlignment="1">
      <alignment horizontal="left"/>
    </xf>
    <xf numFmtId="0" fontId="7" fillId="0" borderId="0" xfId="0" applyFont="1" applyFill="1"/>
    <xf numFmtId="164" fontId="7" fillId="0" borderId="0" xfId="0" applyNumberFormat="1" applyFont="1" applyFill="1"/>
    <xf numFmtId="0" fontId="7" fillId="0" borderId="0" xfId="0" applyFont="1" applyFill="1" applyBorder="1" applyAlignment="1">
      <alignment vertical="top"/>
    </xf>
    <xf numFmtId="2" fontId="7" fillId="0" borderId="0" xfId="0" applyNumberFormat="1" applyFont="1" applyFill="1"/>
    <xf numFmtId="165" fontId="7" fillId="0" borderId="0" xfId="0" applyNumberFormat="1" applyFont="1" applyFill="1"/>
    <xf numFmtId="0" fontId="20" fillId="0" borderId="0" xfId="0" applyFont="1" applyFill="1" applyBorder="1"/>
    <xf numFmtId="0" fontId="7" fillId="0" borderId="0" xfId="0" applyFont="1" applyFill="1" applyBorder="1"/>
    <xf numFmtId="0" fontId="36" fillId="12" borderId="27" xfId="0" applyFont="1" applyFill="1" applyBorder="1" applyAlignment="1" applyProtection="1">
      <alignment horizontal="center" vertical="center"/>
      <protection locked="0"/>
    </xf>
    <xf numFmtId="0" fontId="4" fillId="8" borderId="0" xfId="0" applyFont="1" applyFill="1" applyBorder="1" applyAlignment="1" applyProtection="1">
      <alignment horizontal="center"/>
      <protection locked="0"/>
    </xf>
    <xf numFmtId="0" fontId="37" fillId="8" borderId="11" xfId="0" applyFont="1" applyFill="1" applyBorder="1" applyAlignment="1">
      <alignment horizontal="center" vertical="center"/>
    </xf>
    <xf numFmtId="0" fontId="36" fillId="8" borderId="0" xfId="0" applyFont="1" applyFill="1" applyBorder="1" applyAlignment="1" applyProtection="1">
      <alignment horizontal="center" vertical="center"/>
      <protection locked="0"/>
    </xf>
    <xf numFmtId="0" fontId="12" fillId="8" borderId="0" xfId="0" applyFont="1" applyFill="1" applyBorder="1" applyAlignment="1">
      <alignment vertical="center"/>
    </xf>
    <xf numFmtId="164" fontId="36" fillId="8" borderId="0" xfId="0" applyNumberFormat="1" applyFont="1" applyFill="1" applyBorder="1" applyAlignment="1" applyProtection="1">
      <alignment horizontal="center" vertical="center"/>
    </xf>
    <xf numFmtId="0" fontId="39" fillId="0" borderId="0" xfId="0" applyFont="1" applyFill="1"/>
    <xf numFmtId="0" fontId="7" fillId="3" borderId="0" xfId="0" applyFont="1" applyFill="1" applyAlignment="1">
      <alignment horizontal="right"/>
    </xf>
    <xf numFmtId="0" fontId="4" fillId="3" borderId="0" xfId="0" applyFont="1" applyFill="1" applyBorder="1"/>
    <xf numFmtId="0" fontId="5" fillId="15" borderId="0" xfId="0" applyFont="1" applyFill="1"/>
    <xf numFmtId="0" fontId="5" fillId="15" borderId="0" xfId="0" applyFont="1" applyFill="1" applyBorder="1" applyAlignment="1"/>
    <xf numFmtId="0" fontId="5" fillId="15" borderId="0" xfId="0" applyFont="1" applyFill="1" applyBorder="1"/>
    <xf numFmtId="0" fontId="5" fillId="11" borderId="0" xfId="0" applyFont="1" applyFill="1" applyBorder="1" applyAlignment="1" applyProtection="1">
      <alignment horizontal="center"/>
      <protection locked="0"/>
    </xf>
    <xf numFmtId="0" fontId="34" fillId="15" borderId="0" xfId="0" applyFont="1" applyFill="1"/>
    <xf numFmtId="0" fontId="38" fillId="15" borderId="0" xfId="0" applyFont="1" applyFill="1"/>
    <xf numFmtId="0" fontId="0" fillId="15" borderId="0" xfId="0" applyFill="1"/>
    <xf numFmtId="0" fontId="10" fillId="15" borderId="0" xfId="0" applyFont="1" applyFill="1"/>
    <xf numFmtId="0" fontId="0" fillId="15" borderId="0" xfId="0" applyFill="1" applyBorder="1"/>
    <xf numFmtId="0" fontId="7" fillId="15" borderId="0" xfId="0" applyFont="1" applyFill="1" applyBorder="1"/>
    <xf numFmtId="0" fontId="2" fillId="15" borderId="0" xfId="0" applyFont="1" applyFill="1" applyBorder="1"/>
    <xf numFmtId="0" fontId="4" fillId="8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45" fillId="10" borderId="2" xfId="0" applyFont="1" applyFill="1" applyBorder="1" applyAlignment="1">
      <alignment horizontal="center"/>
    </xf>
    <xf numFmtId="0" fontId="45" fillId="3" borderId="2" xfId="0" applyFont="1" applyFill="1" applyBorder="1" applyAlignment="1" applyProtection="1">
      <alignment horizontal="center"/>
      <protection locked="0"/>
    </xf>
    <xf numFmtId="0" fontId="46" fillId="15" borderId="0" xfId="0" applyFont="1" applyFill="1"/>
    <xf numFmtId="0" fontId="47" fillId="15" borderId="0" xfId="0" applyFont="1" applyFill="1" applyBorder="1"/>
    <xf numFmtId="1" fontId="48" fillId="15" borderId="0" xfId="0" applyNumberFormat="1" applyFont="1" applyFill="1" applyBorder="1" applyAlignment="1" applyProtection="1">
      <alignment horizontal="center" vertical="center"/>
      <protection hidden="1"/>
    </xf>
    <xf numFmtId="0" fontId="46" fillId="15" borderId="0" xfId="0" applyFont="1" applyFill="1" applyBorder="1"/>
    <xf numFmtId="2" fontId="48" fillId="15" borderId="0" xfId="0" applyNumberFormat="1" applyFont="1" applyFill="1" applyBorder="1" applyAlignment="1" applyProtection="1">
      <alignment horizontal="center" vertical="center"/>
      <protection hidden="1"/>
    </xf>
    <xf numFmtId="0" fontId="46" fillId="15" borderId="0" xfId="0" applyFont="1" applyFill="1" applyBorder="1" applyAlignment="1">
      <alignment horizontal="center"/>
    </xf>
    <xf numFmtId="0" fontId="47" fillId="15" borderId="0" xfId="0" applyFont="1" applyFill="1" applyBorder="1" applyAlignment="1">
      <alignment horizontal="center"/>
    </xf>
    <xf numFmtId="0" fontId="46" fillId="15" borderId="14" xfId="0" applyFont="1" applyFill="1" applyBorder="1"/>
    <xf numFmtId="0" fontId="46" fillId="15" borderId="28" xfId="0" applyFont="1" applyFill="1" applyBorder="1"/>
    <xf numFmtId="0" fontId="5" fillId="11" borderId="2" xfId="0" applyFont="1" applyFill="1" applyBorder="1" applyAlignment="1">
      <alignment horizontal="center" vertical="center"/>
    </xf>
    <xf numFmtId="1" fontId="49" fillId="11" borderId="2" xfId="0" applyNumberFormat="1" applyFont="1" applyFill="1" applyBorder="1" applyAlignment="1">
      <alignment horizontal="center" vertical="center"/>
    </xf>
    <xf numFmtId="0" fontId="42" fillId="11" borderId="2" xfId="0" applyFont="1" applyFill="1" applyBorder="1" applyAlignment="1">
      <alignment horizontal="center" vertical="center"/>
    </xf>
    <xf numFmtId="0" fontId="10" fillId="3" borderId="0" xfId="0" applyFont="1" applyFill="1" applyAlignment="1"/>
    <xf numFmtId="0" fontId="51" fillId="3" borderId="0" xfId="0" applyFont="1" applyFill="1" applyAlignment="1">
      <alignment horizontal="left"/>
    </xf>
    <xf numFmtId="0" fontId="4" fillId="3" borderId="6" xfId="0" applyFont="1" applyFill="1" applyBorder="1"/>
    <xf numFmtId="0" fontId="19" fillId="3" borderId="6" xfId="0" applyFont="1" applyFill="1" applyBorder="1" applyAlignment="1">
      <alignment horizontal="center" vertical="center"/>
    </xf>
    <xf numFmtId="0" fontId="19" fillId="3" borderId="45" xfId="0" applyFont="1" applyFill="1" applyBorder="1" applyAlignment="1">
      <alignment horizontal="center" vertical="center"/>
    </xf>
    <xf numFmtId="0" fontId="5" fillId="3" borderId="0" xfId="0" applyFont="1" applyFill="1" applyAlignment="1"/>
    <xf numFmtId="2" fontId="7" fillId="3" borderId="0" xfId="0" applyNumberFormat="1" applyFont="1" applyFill="1" applyAlignment="1">
      <alignment horizontal="left"/>
    </xf>
    <xf numFmtId="0" fontId="19" fillId="3" borderId="0" xfId="0" applyFont="1" applyFill="1"/>
    <xf numFmtId="0" fontId="3" fillId="3" borderId="0" xfId="0" applyFont="1" applyFill="1" applyAlignment="1">
      <alignment horizontal="center" vertical="center"/>
    </xf>
    <xf numFmtId="0" fontId="36" fillId="12" borderId="27" xfId="0" applyFont="1" applyFill="1" applyBorder="1" applyAlignment="1" applyProtection="1">
      <alignment horizontal="center" vertical="center"/>
      <protection locked="0" hidden="1"/>
    </xf>
    <xf numFmtId="0" fontId="5" fillId="15" borderId="0" xfId="0" applyFont="1" applyFill="1" applyProtection="1">
      <protection hidden="1"/>
    </xf>
    <xf numFmtId="0" fontId="40" fillId="15" borderId="0" xfId="0" applyFont="1" applyFill="1" applyProtection="1">
      <protection hidden="1"/>
    </xf>
    <xf numFmtId="0" fontId="40" fillId="15" borderId="0" xfId="0" applyFont="1" applyFill="1" applyAlignment="1" applyProtection="1">
      <alignment horizontal="right"/>
      <protection hidden="1"/>
    </xf>
    <xf numFmtId="2" fontId="40" fillId="15" borderId="0" xfId="0" applyNumberFormat="1" applyFont="1" applyFill="1" applyProtection="1">
      <protection hidden="1"/>
    </xf>
    <xf numFmtId="2" fontId="41" fillId="15" borderId="0" xfId="0" applyNumberFormat="1" applyFont="1" applyFill="1" applyProtection="1">
      <protection hidden="1"/>
    </xf>
    <xf numFmtId="0" fontId="41" fillId="15" borderId="0" xfId="0" applyFont="1" applyFill="1" applyProtection="1">
      <protection hidden="1"/>
    </xf>
    <xf numFmtId="1" fontId="5" fillId="12" borderId="30" xfId="0" applyNumberFormat="1" applyFont="1" applyFill="1" applyBorder="1" applyAlignment="1" applyProtection="1">
      <alignment horizontal="center" vertical="center"/>
      <protection hidden="1"/>
    </xf>
    <xf numFmtId="0" fontId="3" fillId="12" borderId="31" xfId="0" applyFont="1" applyFill="1" applyBorder="1" applyAlignment="1" applyProtection="1">
      <alignment horizontal="center"/>
      <protection hidden="1"/>
    </xf>
    <xf numFmtId="2" fontId="2" fillId="12" borderId="31" xfId="0" applyNumberFormat="1" applyFont="1" applyFill="1" applyBorder="1" applyAlignment="1" applyProtection="1">
      <alignment horizontal="center"/>
      <protection hidden="1"/>
    </xf>
    <xf numFmtId="47" fontId="2" fillId="12" borderId="31" xfId="0" applyNumberFormat="1" applyFont="1" applyFill="1" applyBorder="1" applyAlignment="1" applyProtection="1">
      <alignment horizontal="center"/>
      <protection hidden="1"/>
    </xf>
    <xf numFmtId="45" fontId="2" fillId="12" borderId="31" xfId="0" applyNumberFormat="1" applyFont="1" applyFill="1" applyBorder="1" applyAlignment="1" applyProtection="1">
      <alignment horizontal="center"/>
      <protection hidden="1"/>
    </xf>
    <xf numFmtId="47" fontId="45" fillId="12" borderId="32" xfId="0" applyNumberFormat="1" applyFont="1" applyFill="1" applyBorder="1" applyAlignment="1" applyProtection="1">
      <alignment horizontal="center"/>
      <protection hidden="1"/>
    </xf>
    <xf numFmtId="1" fontId="5" fillId="12" borderId="33" xfId="0" applyNumberFormat="1" applyFont="1" applyFill="1" applyBorder="1" applyAlignment="1" applyProtection="1">
      <alignment horizontal="center" vertical="center"/>
      <protection hidden="1"/>
    </xf>
    <xf numFmtId="0" fontId="3" fillId="12" borderId="1" xfId="0" applyFont="1" applyFill="1" applyBorder="1" applyAlignment="1" applyProtection="1">
      <alignment horizontal="center"/>
      <protection hidden="1"/>
    </xf>
    <xf numFmtId="2" fontId="2" fillId="12" borderId="1" xfId="0" applyNumberFormat="1" applyFont="1" applyFill="1" applyBorder="1" applyAlignment="1" applyProtection="1">
      <alignment horizontal="center"/>
      <protection hidden="1"/>
    </xf>
    <xf numFmtId="47" fontId="2" fillId="12" borderId="1" xfId="0" applyNumberFormat="1" applyFont="1" applyFill="1" applyBorder="1" applyAlignment="1" applyProtection="1">
      <alignment horizontal="center"/>
      <protection hidden="1"/>
    </xf>
    <xf numFmtId="45" fontId="2" fillId="12" borderId="1" xfId="0" applyNumberFormat="1" applyFont="1" applyFill="1" applyBorder="1" applyAlignment="1" applyProtection="1">
      <alignment horizontal="center"/>
      <protection hidden="1"/>
    </xf>
    <xf numFmtId="47" fontId="45" fillId="12" borderId="34" xfId="0" applyNumberFormat="1" applyFont="1" applyFill="1" applyBorder="1" applyAlignment="1" applyProtection="1">
      <alignment horizontal="center"/>
      <protection hidden="1"/>
    </xf>
    <xf numFmtId="1" fontId="5" fillId="12" borderId="35" xfId="0" applyNumberFormat="1" applyFont="1" applyFill="1" applyBorder="1" applyAlignment="1" applyProtection="1">
      <alignment horizontal="center" vertical="center"/>
      <protection hidden="1"/>
    </xf>
    <xf numFmtId="0" fontId="3" fillId="13" borderId="36" xfId="0" applyFont="1" applyFill="1" applyBorder="1" applyAlignment="1" applyProtection="1">
      <alignment horizontal="center"/>
      <protection hidden="1"/>
    </xf>
    <xf numFmtId="2" fontId="2" fillId="13" borderId="36" xfId="0" applyNumberFormat="1" applyFont="1" applyFill="1" applyBorder="1" applyAlignment="1" applyProtection="1">
      <alignment horizontal="center"/>
      <protection hidden="1"/>
    </xf>
    <xf numFmtId="47" fontId="2" fillId="13" borderId="36" xfId="0" applyNumberFormat="1" applyFont="1" applyFill="1" applyBorder="1" applyAlignment="1" applyProtection="1">
      <alignment horizontal="center"/>
      <protection hidden="1"/>
    </xf>
    <xf numFmtId="45" fontId="2" fillId="13" borderId="36" xfId="0" applyNumberFormat="1" applyFont="1" applyFill="1" applyBorder="1" applyAlignment="1" applyProtection="1">
      <alignment horizontal="center"/>
      <protection hidden="1"/>
    </xf>
    <xf numFmtId="47" fontId="45" fillId="13" borderId="37" xfId="0" applyNumberFormat="1" applyFont="1" applyFill="1" applyBorder="1" applyAlignment="1" applyProtection="1">
      <alignment horizontal="center"/>
      <protection hidden="1"/>
    </xf>
    <xf numFmtId="1" fontId="5" fillId="16" borderId="43" xfId="0" applyNumberFormat="1" applyFont="1" applyFill="1" applyBorder="1" applyAlignment="1" applyProtection="1">
      <alignment horizontal="center" vertical="center"/>
      <protection hidden="1"/>
    </xf>
    <xf numFmtId="0" fontId="3" fillId="16" borderId="3" xfId="0" applyFont="1" applyFill="1" applyBorder="1" applyAlignment="1" applyProtection="1">
      <alignment horizontal="center"/>
      <protection hidden="1"/>
    </xf>
    <xf numFmtId="2" fontId="2" fillId="16" borderId="3" xfId="0" applyNumberFormat="1" applyFont="1" applyFill="1" applyBorder="1" applyAlignment="1" applyProtection="1">
      <alignment horizontal="center"/>
      <protection hidden="1"/>
    </xf>
    <xf numFmtId="47" fontId="2" fillId="16" borderId="3" xfId="0" applyNumberFormat="1" applyFont="1" applyFill="1" applyBorder="1" applyAlignment="1" applyProtection="1">
      <alignment horizontal="center"/>
      <protection hidden="1"/>
    </xf>
    <xf numFmtId="45" fontId="2" fillId="16" borderId="3" xfId="0" applyNumberFormat="1" applyFont="1" applyFill="1" applyBorder="1" applyAlignment="1" applyProtection="1">
      <alignment horizontal="center"/>
      <protection hidden="1"/>
    </xf>
    <xf numFmtId="47" fontId="45" fillId="16" borderId="3" xfId="0" applyNumberFormat="1" applyFont="1" applyFill="1" applyBorder="1" applyAlignment="1" applyProtection="1">
      <alignment horizontal="center"/>
      <protection hidden="1"/>
    </xf>
    <xf numFmtId="1" fontId="5" fillId="16" borderId="33" xfId="0" applyNumberFormat="1" applyFont="1" applyFill="1" applyBorder="1" applyAlignment="1" applyProtection="1">
      <alignment horizontal="center" vertical="center"/>
      <protection hidden="1"/>
    </xf>
    <xf numFmtId="0" fontId="3" fillId="16" borderId="1" xfId="0" applyFont="1" applyFill="1" applyBorder="1" applyAlignment="1" applyProtection="1">
      <alignment horizontal="center"/>
      <protection hidden="1"/>
    </xf>
    <xf numFmtId="2" fontId="2" fillId="16" borderId="1" xfId="0" applyNumberFormat="1" applyFont="1" applyFill="1" applyBorder="1" applyAlignment="1" applyProtection="1">
      <alignment horizontal="center"/>
      <protection hidden="1"/>
    </xf>
    <xf numFmtId="47" fontId="2" fillId="16" borderId="1" xfId="0" applyNumberFormat="1" applyFont="1" applyFill="1" applyBorder="1" applyAlignment="1" applyProtection="1">
      <alignment horizontal="center"/>
      <protection hidden="1"/>
    </xf>
    <xf numFmtId="45" fontId="2" fillId="16" borderId="1" xfId="0" applyNumberFormat="1" applyFont="1" applyFill="1" applyBorder="1" applyAlignment="1" applyProtection="1">
      <alignment horizontal="center"/>
      <protection hidden="1"/>
    </xf>
    <xf numFmtId="47" fontId="45" fillId="16" borderId="1" xfId="0" applyNumberFormat="1" applyFont="1" applyFill="1" applyBorder="1" applyAlignment="1" applyProtection="1">
      <alignment horizontal="center"/>
      <protection hidden="1"/>
    </xf>
    <xf numFmtId="1" fontId="5" fillId="16" borderId="41" xfId="0" applyNumberFormat="1" applyFont="1" applyFill="1" applyBorder="1" applyAlignment="1" applyProtection="1">
      <alignment horizontal="center" vertical="center"/>
      <protection hidden="1"/>
    </xf>
    <xf numFmtId="0" fontId="3" fillId="16" borderId="2" xfId="0" applyFont="1" applyFill="1" applyBorder="1" applyAlignment="1" applyProtection="1">
      <alignment horizontal="center"/>
      <protection hidden="1"/>
    </xf>
    <xf numFmtId="2" fontId="2" fillId="16" borderId="2" xfId="0" applyNumberFormat="1" applyFont="1" applyFill="1" applyBorder="1" applyAlignment="1" applyProtection="1">
      <alignment horizontal="center"/>
      <protection hidden="1"/>
    </xf>
    <xf numFmtId="47" fontId="2" fillId="16" borderId="2" xfId="0" applyNumberFormat="1" applyFont="1" applyFill="1" applyBorder="1" applyAlignment="1" applyProtection="1">
      <alignment horizontal="center"/>
      <protection hidden="1"/>
    </xf>
    <xf numFmtId="45" fontId="2" fillId="16" borderId="2" xfId="0" applyNumberFormat="1" applyFont="1" applyFill="1" applyBorder="1" applyAlignment="1" applyProtection="1">
      <alignment horizontal="center"/>
      <protection hidden="1"/>
    </xf>
    <xf numFmtId="47" fontId="45" fillId="16" borderId="2" xfId="0" applyNumberFormat="1" applyFont="1" applyFill="1" applyBorder="1" applyAlignment="1" applyProtection="1">
      <alignment horizontal="center"/>
      <protection hidden="1"/>
    </xf>
    <xf numFmtId="1" fontId="5" fillId="17" borderId="30" xfId="0" applyNumberFormat="1" applyFont="1" applyFill="1" applyBorder="1" applyAlignment="1" applyProtection="1">
      <alignment horizontal="center" vertical="center"/>
      <protection hidden="1"/>
    </xf>
    <xf numFmtId="0" fontId="3" fillId="17" borderId="31" xfId="0" applyFont="1" applyFill="1" applyBorder="1" applyAlignment="1" applyProtection="1">
      <alignment horizontal="center"/>
      <protection hidden="1"/>
    </xf>
    <xf numFmtId="2" fontId="2" fillId="17" borderId="31" xfId="0" applyNumberFormat="1" applyFont="1" applyFill="1" applyBorder="1" applyAlignment="1" applyProtection="1">
      <alignment horizontal="center"/>
      <protection hidden="1"/>
    </xf>
    <xf numFmtId="47" fontId="2" fillId="17" borderId="31" xfId="0" applyNumberFormat="1" applyFont="1" applyFill="1" applyBorder="1" applyAlignment="1" applyProtection="1">
      <alignment horizontal="center"/>
      <protection hidden="1"/>
    </xf>
    <xf numFmtId="45" fontId="2" fillId="17" borderId="31" xfId="0" applyNumberFormat="1" applyFont="1" applyFill="1" applyBorder="1" applyAlignment="1" applyProtection="1">
      <alignment horizontal="center"/>
      <protection hidden="1"/>
    </xf>
    <xf numFmtId="47" fontId="45" fillId="17" borderId="32" xfId="0" applyNumberFormat="1" applyFont="1" applyFill="1" applyBorder="1" applyAlignment="1" applyProtection="1">
      <alignment horizontal="center"/>
      <protection hidden="1"/>
    </xf>
    <xf numFmtId="1" fontId="5" fillId="17" borderId="33" xfId="0" applyNumberFormat="1" applyFont="1" applyFill="1" applyBorder="1" applyAlignment="1" applyProtection="1">
      <alignment horizontal="center" vertical="center"/>
      <protection hidden="1"/>
    </xf>
    <xf numFmtId="0" fontId="3" fillId="17" borderId="1" xfId="0" applyFont="1" applyFill="1" applyBorder="1" applyAlignment="1" applyProtection="1">
      <alignment horizontal="center"/>
      <protection hidden="1"/>
    </xf>
    <xf numFmtId="2" fontId="2" fillId="17" borderId="1" xfId="0" applyNumberFormat="1" applyFont="1" applyFill="1" applyBorder="1" applyAlignment="1" applyProtection="1">
      <alignment horizontal="center"/>
      <protection hidden="1"/>
    </xf>
    <xf numFmtId="47" fontId="2" fillId="17" borderId="1" xfId="0" applyNumberFormat="1" applyFont="1" applyFill="1" applyBorder="1" applyAlignment="1" applyProtection="1">
      <alignment horizontal="center"/>
      <protection hidden="1"/>
    </xf>
    <xf numFmtId="45" fontId="2" fillId="17" borderId="1" xfId="0" applyNumberFormat="1" applyFont="1" applyFill="1" applyBorder="1" applyAlignment="1" applyProtection="1">
      <alignment horizontal="center"/>
      <protection hidden="1"/>
    </xf>
    <xf numFmtId="47" fontId="45" fillId="17" borderId="34" xfId="0" applyNumberFormat="1" applyFont="1" applyFill="1" applyBorder="1" applyAlignment="1" applyProtection="1">
      <alignment horizontal="center"/>
      <protection hidden="1"/>
    </xf>
    <xf numFmtId="1" fontId="5" fillId="17" borderId="35" xfId="0" applyNumberFormat="1" applyFont="1" applyFill="1" applyBorder="1" applyAlignment="1" applyProtection="1">
      <alignment horizontal="center" vertical="center"/>
      <protection hidden="1"/>
    </xf>
    <xf numFmtId="0" fontId="3" fillId="17" borderId="36" xfId="0" applyFont="1" applyFill="1" applyBorder="1" applyAlignment="1" applyProtection="1">
      <alignment horizontal="center"/>
      <protection hidden="1"/>
    </xf>
    <xf numFmtId="2" fontId="2" fillId="17" borderId="36" xfId="0" applyNumberFormat="1" applyFont="1" applyFill="1" applyBorder="1" applyAlignment="1" applyProtection="1">
      <alignment horizontal="center"/>
      <protection hidden="1"/>
    </xf>
    <xf numFmtId="47" fontId="2" fillId="17" borderId="36" xfId="0" applyNumberFormat="1" applyFont="1" applyFill="1" applyBorder="1" applyAlignment="1" applyProtection="1">
      <alignment horizontal="center"/>
      <protection hidden="1"/>
    </xf>
    <xf numFmtId="45" fontId="2" fillId="17" borderId="36" xfId="0" applyNumberFormat="1" applyFont="1" applyFill="1" applyBorder="1" applyAlignment="1" applyProtection="1">
      <alignment horizontal="center"/>
      <protection hidden="1"/>
    </xf>
    <xf numFmtId="47" fontId="45" fillId="17" borderId="37" xfId="0" applyNumberFormat="1" applyFont="1" applyFill="1" applyBorder="1" applyAlignment="1" applyProtection="1">
      <alignment horizontal="center"/>
      <protection hidden="1"/>
    </xf>
    <xf numFmtId="1" fontId="5" fillId="18" borderId="30" xfId="0" applyNumberFormat="1" applyFont="1" applyFill="1" applyBorder="1" applyAlignment="1" applyProtection="1">
      <alignment horizontal="center" vertical="center"/>
      <protection hidden="1"/>
    </xf>
    <xf numFmtId="0" fontId="3" fillId="18" borderId="31" xfId="0" applyFont="1" applyFill="1" applyBorder="1" applyAlignment="1" applyProtection="1">
      <alignment horizontal="center"/>
      <protection hidden="1"/>
    </xf>
    <xf numFmtId="2" fontId="2" fillId="18" borderId="31" xfId="0" applyNumberFormat="1" applyFont="1" applyFill="1" applyBorder="1" applyAlignment="1" applyProtection="1">
      <alignment horizontal="center"/>
      <protection hidden="1"/>
    </xf>
    <xf numFmtId="47" fontId="2" fillId="18" borderId="31" xfId="0" applyNumberFormat="1" applyFont="1" applyFill="1" applyBorder="1" applyAlignment="1" applyProtection="1">
      <alignment horizontal="center"/>
      <protection hidden="1"/>
    </xf>
    <xf numFmtId="45" fontId="2" fillId="18" borderId="31" xfId="0" applyNumberFormat="1" applyFont="1" applyFill="1" applyBorder="1" applyAlignment="1" applyProtection="1">
      <alignment horizontal="center"/>
      <protection hidden="1"/>
    </xf>
    <xf numFmtId="47" fontId="45" fillId="18" borderId="32" xfId="0" applyNumberFormat="1" applyFont="1" applyFill="1" applyBorder="1" applyAlignment="1" applyProtection="1">
      <alignment horizontal="center"/>
      <protection hidden="1"/>
    </xf>
    <xf numFmtId="1" fontId="5" fillId="18" borderId="33" xfId="0" applyNumberFormat="1" applyFont="1" applyFill="1" applyBorder="1" applyAlignment="1" applyProtection="1">
      <alignment horizontal="center" vertical="center"/>
      <protection hidden="1"/>
    </xf>
    <xf numFmtId="0" fontId="3" fillId="18" borderId="1" xfId="0" applyFont="1" applyFill="1" applyBorder="1" applyAlignment="1" applyProtection="1">
      <alignment horizontal="center"/>
      <protection hidden="1"/>
    </xf>
    <xf numFmtId="2" fontId="2" fillId="18" borderId="1" xfId="0" applyNumberFormat="1" applyFont="1" applyFill="1" applyBorder="1" applyAlignment="1" applyProtection="1">
      <alignment horizontal="center"/>
      <protection hidden="1"/>
    </xf>
    <xf numFmtId="47" fontId="2" fillId="18" borderId="1" xfId="0" applyNumberFormat="1" applyFont="1" applyFill="1" applyBorder="1" applyAlignment="1" applyProtection="1">
      <alignment horizontal="center"/>
      <protection hidden="1"/>
    </xf>
    <xf numFmtId="45" fontId="2" fillId="18" borderId="1" xfId="0" applyNumberFormat="1" applyFont="1" applyFill="1" applyBorder="1" applyAlignment="1" applyProtection="1">
      <alignment horizontal="center"/>
      <protection hidden="1"/>
    </xf>
    <xf numFmtId="47" fontId="45" fillId="18" borderId="34" xfId="0" applyNumberFormat="1" applyFont="1" applyFill="1" applyBorder="1" applyAlignment="1" applyProtection="1">
      <alignment horizontal="center"/>
      <protection hidden="1"/>
    </xf>
    <xf numFmtId="1" fontId="5" fillId="18" borderId="35" xfId="0" applyNumberFormat="1" applyFont="1" applyFill="1" applyBorder="1" applyAlignment="1" applyProtection="1">
      <alignment horizontal="center" vertical="center"/>
      <protection hidden="1"/>
    </xf>
    <xf numFmtId="0" fontId="3" fillId="18" borderId="36" xfId="0" applyFont="1" applyFill="1" applyBorder="1" applyAlignment="1" applyProtection="1">
      <alignment horizontal="center"/>
      <protection hidden="1"/>
    </xf>
    <xf numFmtId="2" fontId="2" fillId="18" borderId="36" xfId="0" applyNumberFormat="1" applyFont="1" applyFill="1" applyBorder="1" applyAlignment="1" applyProtection="1">
      <alignment horizontal="center"/>
      <protection hidden="1"/>
    </xf>
    <xf numFmtId="47" fontId="2" fillId="18" borderId="36" xfId="0" applyNumberFormat="1" applyFont="1" applyFill="1" applyBorder="1" applyAlignment="1" applyProtection="1">
      <alignment horizontal="center"/>
      <protection hidden="1"/>
    </xf>
    <xf numFmtId="45" fontId="2" fillId="18" borderId="36" xfId="0" applyNumberFormat="1" applyFont="1" applyFill="1" applyBorder="1" applyAlignment="1" applyProtection="1">
      <alignment horizontal="center"/>
      <protection hidden="1"/>
    </xf>
    <xf numFmtId="47" fontId="45" fillId="18" borderId="37" xfId="0" applyNumberFormat="1" applyFont="1" applyFill="1" applyBorder="1" applyAlignment="1" applyProtection="1">
      <alignment horizontal="center"/>
      <protection hidden="1"/>
    </xf>
    <xf numFmtId="1" fontId="5" fillId="20" borderId="30" xfId="0" applyNumberFormat="1" applyFont="1" applyFill="1" applyBorder="1" applyAlignment="1" applyProtection="1">
      <alignment horizontal="center" vertical="center"/>
      <protection hidden="1"/>
    </xf>
    <xf numFmtId="0" fontId="3" fillId="20" borderId="31" xfId="0" applyFont="1" applyFill="1" applyBorder="1" applyAlignment="1" applyProtection="1">
      <alignment horizontal="center"/>
      <protection hidden="1"/>
    </xf>
    <xf numFmtId="2" fontId="2" fillId="20" borderId="31" xfId="0" applyNumberFormat="1" applyFont="1" applyFill="1" applyBorder="1" applyAlignment="1" applyProtection="1">
      <alignment horizontal="center"/>
      <protection hidden="1"/>
    </xf>
    <xf numFmtId="47" fontId="2" fillId="20" borderId="31" xfId="0" applyNumberFormat="1" applyFont="1" applyFill="1" applyBorder="1" applyAlignment="1" applyProtection="1">
      <alignment horizontal="center"/>
      <protection hidden="1"/>
    </xf>
    <xf numFmtId="45" fontId="2" fillId="20" borderId="31" xfId="0" applyNumberFormat="1" applyFont="1" applyFill="1" applyBorder="1" applyAlignment="1" applyProtection="1">
      <alignment horizontal="center"/>
      <protection hidden="1"/>
    </xf>
    <xf numFmtId="47" fontId="45" fillId="20" borderId="32" xfId="0" applyNumberFormat="1" applyFont="1" applyFill="1" applyBorder="1" applyAlignment="1" applyProtection="1">
      <alignment horizontal="center"/>
      <protection hidden="1"/>
    </xf>
    <xf numFmtId="1" fontId="5" fillId="20" borderId="33" xfId="0" applyNumberFormat="1" applyFont="1" applyFill="1" applyBorder="1" applyAlignment="1" applyProtection="1">
      <alignment horizontal="center" vertical="center"/>
      <protection hidden="1"/>
    </xf>
    <xf numFmtId="0" fontId="3" fillId="20" borderId="1" xfId="0" applyFont="1" applyFill="1" applyBorder="1" applyAlignment="1" applyProtection="1">
      <alignment horizontal="center"/>
      <protection hidden="1"/>
    </xf>
    <xf numFmtId="2" fontId="2" fillId="20" borderId="1" xfId="0" applyNumberFormat="1" applyFont="1" applyFill="1" applyBorder="1" applyAlignment="1" applyProtection="1">
      <alignment horizontal="center"/>
      <protection hidden="1"/>
    </xf>
    <xf numFmtId="47" fontId="2" fillId="20" borderId="1" xfId="0" applyNumberFormat="1" applyFont="1" applyFill="1" applyBorder="1" applyAlignment="1" applyProtection="1">
      <alignment horizontal="center"/>
      <protection hidden="1"/>
    </xf>
    <xf numFmtId="45" fontId="2" fillId="20" borderId="1" xfId="0" applyNumberFormat="1" applyFont="1" applyFill="1" applyBorder="1" applyAlignment="1" applyProtection="1">
      <alignment horizontal="center"/>
      <protection hidden="1"/>
    </xf>
    <xf numFmtId="47" fontId="45" fillId="20" borderId="34" xfId="0" applyNumberFormat="1" applyFont="1" applyFill="1" applyBorder="1" applyAlignment="1" applyProtection="1">
      <alignment horizontal="center"/>
      <protection hidden="1"/>
    </xf>
    <xf numFmtId="0" fontId="3" fillId="20" borderId="36" xfId="0" applyFont="1" applyFill="1" applyBorder="1" applyAlignment="1" applyProtection="1">
      <alignment horizontal="center"/>
      <protection hidden="1"/>
    </xf>
    <xf numFmtId="2" fontId="2" fillId="20" borderId="36" xfId="0" applyNumberFormat="1" applyFont="1" applyFill="1" applyBorder="1" applyAlignment="1" applyProtection="1">
      <alignment horizontal="center"/>
      <protection hidden="1"/>
    </xf>
    <xf numFmtId="47" fontId="2" fillId="20" borderId="36" xfId="0" applyNumberFormat="1" applyFont="1" applyFill="1" applyBorder="1" applyAlignment="1" applyProtection="1">
      <alignment horizontal="center"/>
      <protection hidden="1"/>
    </xf>
    <xf numFmtId="45" fontId="2" fillId="20" borderId="36" xfId="0" applyNumberFormat="1" applyFont="1" applyFill="1" applyBorder="1" applyAlignment="1" applyProtection="1">
      <alignment horizontal="center"/>
      <protection hidden="1"/>
    </xf>
    <xf numFmtId="47" fontId="45" fillId="20" borderId="37" xfId="0" applyNumberFormat="1" applyFont="1" applyFill="1" applyBorder="1" applyAlignment="1" applyProtection="1">
      <alignment horizontal="center"/>
      <protection hidden="1"/>
    </xf>
    <xf numFmtId="0" fontId="4" fillId="8" borderId="33" xfId="0" applyFont="1" applyFill="1" applyBorder="1" applyAlignment="1" applyProtection="1">
      <alignment horizontal="center" vertical="center"/>
      <protection hidden="1"/>
    </xf>
    <xf numFmtId="0" fontId="3" fillId="19" borderId="3" xfId="0" applyFont="1" applyFill="1" applyBorder="1" applyAlignment="1" applyProtection="1">
      <alignment horizontal="center"/>
      <protection hidden="1"/>
    </xf>
    <xf numFmtId="2" fontId="2" fillId="19" borderId="3" xfId="0" applyNumberFormat="1" applyFont="1" applyFill="1" applyBorder="1" applyAlignment="1" applyProtection="1">
      <alignment horizontal="center"/>
      <protection hidden="1"/>
    </xf>
    <xf numFmtId="47" fontId="2" fillId="19" borderId="3" xfId="0" applyNumberFormat="1" applyFont="1" applyFill="1" applyBorder="1" applyAlignment="1" applyProtection="1">
      <alignment horizontal="center"/>
      <protection hidden="1"/>
    </xf>
    <xf numFmtId="45" fontId="2" fillId="19" borderId="3" xfId="0" applyNumberFormat="1" applyFont="1" applyFill="1" applyBorder="1" applyAlignment="1" applyProtection="1">
      <alignment horizontal="center"/>
      <protection hidden="1"/>
    </xf>
    <xf numFmtId="47" fontId="45" fillId="19" borderId="40" xfId="0" applyNumberFormat="1" applyFont="1" applyFill="1" applyBorder="1" applyAlignment="1" applyProtection="1">
      <alignment horizontal="center"/>
      <protection hidden="1"/>
    </xf>
    <xf numFmtId="0" fontId="3" fillId="19" borderId="1" xfId="0" applyFont="1" applyFill="1" applyBorder="1" applyAlignment="1" applyProtection="1">
      <alignment horizontal="center"/>
      <protection hidden="1"/>
    </xf>
    <xf numFmtId="2" fontId="2" fillId="19" borderId="1" xfId="0" applyNumberFormat="1" applyFont="1" applyFill="1" applyBorder="1" applyAlignment="1" applyProtection="1">
      <alignment horizontal="center"/>
      <protection hidden="1"/>
    </xf>
    <xf numFmtId="47" fontId="2" fillId="19" borderId="1" xfId="0" applyNumberFormat="1" applyFont="1" applyFill="1" applyBorder="1" applyAlignment="1" applyProtection="1">
      <alignment horizontal="center"/>
      <protection hidden="1"/>
    </xf>
    <xf numFmtId="45" fontId="2" fillId="19" borderId="1" xfId="0" applyNumberFormat="1" applyFont="1" applyFill="1" applyBorder="1" applyAlignment="1" applyProtection="1">
      <alignment horizontal="center"/>
      <protection hidden="1"/>
    </xf>
    <xf numFmtId="47" fontId="45" fillId="19" borderId="34" xfId="0" applyNumberFormat="1" applyFont="1" applyFill="1" applyBorder="1" applyAlignment="1" applyProtection="1">
      <alignment horizontal="center"/>
      <protection hidden="1"/>
    </xf>
    <xf numFmtId="0" fontId="4" fillId="8" borderId="35" xfId="0" applyFont="1" applyFill="1" applyBorder="1" applyAlignment="1" applyProtection="1">
      <alignment horizontal="center" vertical="center"/>
      <protection hidden="1"/>
    </xf>
    <xf numFmtId="0" fontId="3" fillId="19" borderId="36" xfId="0" applyFont="1" applyFill="1" applyBorder="1" applyAlignment="1" applyProtection="1">
      <alignment horizontal="center"/>
      <protection hidden="1"/>
    </xf>
    <xf numFmtId="2" fontId="2" fillId="19" borderId="36" xfId="0" applyNumberFormat="1" applyFont="1" applyFill="1" applyBorder="1" applyAlignment="1" applyProtection="1">
      <alignment horizontal="center"/>
      <protection hidden="1"/>
    </xf>
    <xf numFmtId="47" fontId="2" fillId="19" borderId="36" xfId="0" applyNumberFormat="1" applyFont="1" applyFill="1" applyBorder="1" applyAlignment="1" applyProtection="1">
      <alignment horizontal="center"/>
      <protection hidden="1"/>
    </xf>
    <xf numFmtId="45" fontId="2" fillId="19" borderId="36" xfId="0" applyNumberFormat="1" applyFont="1" applyFill="1" applyBorder="1" applyAlignment="1" applyProtection="1">
      <alignment horizontal="center"/>
      <protection hidden="1"/>
    </xf>
    <xf numFmtId="47" fontId="45" fillId="19" borderId="37" xfId="0" applyNumberFormat="1" applyFont="1" applyFill="1" applyBorder="1" applyAlignment="1" applyProtection="1">
      <alignment horizontal="center"/>
      <protection hidden="1"/>
    </xf>
    <xf numFmtId="0" fontId="4" fillId="3" borderId="11" xfId="0" applyFont="1" applyFill="1" applyBorder="1" applyProtection="1">
      <protection hidden="1"/>
    </xf>
    <xf numFmtId="0" fontId="4" fillId="22" borderId="0" xfId="0" applyFont="1" applyFill="1" applyProtection="1">
      <protection hidden="1"/>
    </xf>
    <xf numFmtId="0" fontId="4" fillId="22" borderId="13" xfId="0" applyFont="1" applyFill="1" applyBorder="1" applyProtection="1">
      <protection hidden="1"/>
    </xf>
    <xf numFmtId="0" fontId="4" fillId="22" borderId="0" xfId="0" applyFont="1" applyFill="1" applyBorder="1" applyProtection="1">
      <protection hidden="1"/>
    </xf>
    <xf numFmtId="0" fontId="4" fillId="3" borderId="0" xfId="0" applyFont="1" applyFill="1" applyProtection="1">
      <protection hidden="1"/>
    </xf>
    <xf numFmtId="0" fontId="7" fillId="3" borderId="0" xfId="0" applyFont="1" applyFill="1" applyProtection="1">
      <protection hidden="1"/>
    </xf>
    <xf numFmtId="0" fontId="4" fillId="22" borderId="8" xfId="0" applyFont="1" applyFill="1" applyBorder="1" applyProtection="1">
      <protection hidden="1"/>
    </xf>
    <xf numFmtId="0" fontId="4" fillId="22" borderId="11" xfId="0" applyFont="1" applyFill="1" applyBorder="1" applyProtection="1">
      <protection hidden="1"/>
    </xf>
    <xf numFmtId="0" fontId="4" fillId="22" borderId="6" xfId="0" applyFont="1" applyFill="1" applyBorder="1" applyProtection="1">
      <protection hidden="1"/>
    </xf>
    <xf numFmtId="0" fontId="4" fillId="22" borderId="7" xfId="0" applyFont="1" applyFill="1" applyBorder="1" applyProtection="1">
      <protection hidden="1"/>
    </xf>
    <xf numFmtId="0" fontId="5" fillId="10" borderId="0" xfId="0" applyFont="1" applyFill="1" applyAlignment="1" applyProtection="1">
      <alignment horizontal="right"/>
      <protection hidden="1"/>
    </xf>
    <xf numFmtId="0" fontId="4" fillId="10" borderId="11" xfId="0" applyFont="1" applyFill="1" applyBorder="1" applyAlignment="1" applyProtection="1">
      <alignment horizontal="left"/>
      <protection hidden="1"/>
    </xf>
    <xf numFmtId="0" fontId="3" fillId="10" borderId="0" xfId="0" applyFont="1" applyFill="1" applyBorder="1" applyProtection="1">
      <protection hidden="1"/>
    </xf>
    <xf numFmtId="0" fontId="3" fillId="10" borderId="13" xfId="0" applyFont="1" applyFill="1" applyBorder="1" applyProtection="1">
      <protection hidden="1"/>
    </xf>
    <xf numFmtId="0" fontId="1" fillId="24" borderId="0" xfId="0" applyFont="1" applyFill="1" applyBorder="1" applyProtection="1">
      <protection hidden="1"/>
    </xf>
    <xf numFmtId="164" fontId="1" fillId="24" borderId="0" xfId="0" applyNumberFormat="1" applyFont="1" applyFill="1" applyBorder="1" applyProtection="1">
      <protection hidden="1"/>
    </xf>
    <xf numFmtId="1" fontId="5" fillId="24" borderId="0" xfId="0" applyNumberFormat="1" applyFont="1" applyFill="1" applyBorder="1" applyAlignment="1" applyProtection="1">
      <alignment horizontal="right"/>
      <protection hidden="1"/>
    </xf>
    <xf numFmtId="0" fontId="5" fillId="24" borderId="11" xfId="0" applyFont="1" applyFill="1" applyBorder="1" applyAlignment="1" applyProtection="1">
      <alignment shrinkToFit="1"/>
      <protection hidden="1"/>
    </xf>
    <xf numFmtId="0" fontId="4" fillId="3" borderId="0" xfId="0" applyFont="1" applyFill="1" applyAlignment="1" applyProtection="1">
      <alignment shrinkToFit="1"/>
      <protection hidden="1"/>
    </xf>
    <xf numFmtId="0" fontId="3" fillId="10" borderId="11" xfId="0" applyFont="1" applyFill="1" applyBorder="1" applyProtection="1">
      <protection hidden="1"/>
    </xf>
    <xf numFmtId="0" fontId="5" fillId="10" borderId="6" xfId="0" applyFont="1" applyFill="1" applyBorder="1" applyAlignment="1" applyProtection="1">
      <alignment horizontal="right"/>
      <protection hidden="1"/>
    </xf>
    <xf numFmtId="1" fontId="4" fillId="10" borderId="7" xfId="0" applyNumberFormat="1" applyFont="1" applyFill="1" applyBorder="1" applyAlignment="1" applyProtection="1">
      <alignment horizontal="left"/>
      <protection hidden="1"/>
    </xf>
    <xf numFmtId="0" fontId="3" fillId="10" borderId="6" xfId="0" applyFont="1" applyFill="1" applyBorder="1" applyProtection="1">
      <protection hidden="1"/>
    </xf>
    <xf numFmtId="0" fontId="3" fillId="10" borderId="7" xfId="0" applyFont="1" applyFill="1" applyBorder="1" applyProtection="1">
      <protection hidden="1"/>
    </xf>
    <xf numFmtId="0" fontId="1" fillId="24" borderId="6" xfId="0" applyFont="1" applyFill="1" applyBorder="1" applyProtection="1">
      <protection hidden="1"/>
    </xf>
    <xf numFmtId="2" fontId="1" fillId="24" borderId="6" xfId="0" applyNumberFormat="1" applyFont="1" applyFill="1" applyBorder="1" applyProtection="1">
      <protection hidden="1"/>
    </xf>
    <xf numFmtId="1" fontId="5" fillId="24" borderId="6" xfId="0" applyNumberFormat="1" applyFont="1" applyFill="1" applyBorder="1" applyAlignment="1" applyProtection="1">
      <alignment horizontal="right"/>
      <protection hidden="1"/>
    </xf>
    <xf numFmtId="0" fontId="5" fillId="24" borderId="7" xfId="0" applyFont="1" applyFill="1" applyBorder="1" applyAlignment="1" applyProtection="1">
      <alignment shrinkToFit="1"/>
      <protection hidden="1"/>
    </xf>
    <xf numFmtId="0" fontId="5" fillId="6" borderId="0" xfId="0" applyFont="1" applyFill="1" applyAlignment="1" applyProtection="1">
      <alignment horizontal="right"/>
      <protection hidden="1"/>
    </xf>
    <xf numFmtId="1" fontId="5" fillId="6" borderId="11" xfId="0" applyNumberFormat="1" applyFont="1" applyFill="1" applyBorder="1" applyAlignment="1" applyProtection="1">
      <alignment horizontal="left"/>
      <protection hidden="1"/>
    </xf>
    <xf numFmtId="0" fontId="3" fillId="6" borderId="0" xfId="0" applyFont="1" applyFill="1" applyBorder="1" applyProtection="1">
      <protection hidden="1"/>
    </xf>
    <xf numFmtId="0" fontId="3" fillId="6" borderId="13" xfId="0" applyFont="1" applyFill="1" applyBorder="1" applyProtection="1">
      <protection hidden="1"/>
    </xf>
    <xf numFmtId="0" fontId="3" fillId="25" borderId="11" xfId="0" applyFont="1" applyFill="1" applyBorder="1" applyAlignment="1" applyProtection="1">
      <alignment shrinkToFit="1"/>
      <protection hidden="1"/>
    </xf>
    <xf numFmtId="0" fontId="5" fillId="25" borderId="13" xfId="0" applyFont="1" applyFill="1" applyBorder="1" applyProtection="1">
      <protection hidden="1"/>
    </xf>
    <xf numFmtId="0" fontId="1" fillId="25" borderId="0" xfId="0" applyFont="1" applyFill="1" applyBorder="1" applyProtection="1">
      <protection hidden="1"/>
    </xf>
    <xf numFmtId="2" fontId="1" fillId="25" borderId="0" xfId="0" applyNumberFormat="1" applyFont="1" applyFill="1" applyBorder="1" applyProtection="1">
      <protection hidden="1"/>
    </xf>
    <xf numFmtId="1" fontId="5" fillId="25" borderId="0" xfId="0" applyNumberFormat="1" applyFont="1" applyFill="1" applyBorder="1" applyAlignment="1" applyProtection="1">
      <alignment horizontal="right"/>
      <protection hidden="1"/>
    </xf>
    <xf numFmtId="0" fontId="5" fillId="25" borderId="11" xfId="0" applyFont="1" applyFill="1" applyBorder="1" applyAlignment="1" applyProtection="1">
      <alignment shrinkToFit="1"/>
      <protection hidden="1"/>
    </xf>
    <xf numFmtId="0" fontId="3" fillId="6" borderId="11" xfId="0" applyFont="1" applyFill="1" applyBorder="1" applyProtection="1">
      <protection hidden="1"/>
    </xf>
    <xf numFmtId="0" fontId="5" fillId="25" borderId="11" xfId="0" applyFont="1" applyFill="1" applyBorder="1" applyProtection="1">
      <protection hidden="1"/>
    </xf>
    <xf numFmtId="0" fontId="5" fillId="6" borderId="6" xfId="0" applyFont="1" applyFill="1" applyBorder="1" applyAlignment="1" applyProtection="1">
      <alignment horizontal="right"/>
      <protection hidden="1"/>
    </xf>
    <xf numFmtId="1" fontId="5" fillId="6" borderId="7" xfId="0" applyNumberFormat="1" applyFont="1" applyFill="1" applyBorder="1" applyAlignment="1" applyProtection="1">
      <alignment horizontal="left"/>
      <protection hidden="1"/>
    </xf>
    <xf numFmtId="0" fontId="3" fillId="6" borderId="6" xfId="0" applyFont="1" applyFill="1" applyBorder="1" applyProtection="1">
      <protection hidden="1"/>
    </xf>
    <xf numFmtId="0" fontId="3" fillId="6" borderId="7" xfId="0" applyFont="1" applyFill="1" applyBorder="1" applyProtection="1">
      <protection hidden="1"/>
    </xf>
    <xf numFmtId="0" fontId="3" fillId="25" borderId="7" xfId="0" applyFont="1" applyFill="1" applyBorder="1" applyAlignment="1" applyProtection="1">
      <alignment shrinkToFit="1"/>
      <protection hidden="1"/>
    </xf>
    <xf numFmtId="0" fontId="5" fillId="25" borderId="7" xfId="0" applyFont="1" applyFill="1" applyBorder="1" applyProtection="1">
      <protection hidden="1"/>
    </xf>
    <xf numFmtId="0" fontId="1" fillId="25" borderId="6" xfId="0" applyFont="1" applyFill="1" applyBorder="1" applyProtection="1">
      <protection hidden="1"/>
    </xf>
    <xf numFmtId="2" fontId="1" fillId="25" borderId="6" xfId="0" applyNumberFormat="1" applyFont="1" applyFill="1" applyBorder="1" applyProtection="1">
      <protection hidden="1"/>
    </xf>
    <xf numFmtId="1" fontId="5" fillId="25" borderId="6" xfId="0" applyNumberFormat="1" applyFont="1" applyFill="1" applyBorder="1" applyAlignment="1" applyProtection="1">
      <alignment horizontal="right"/>
      <protection hidden="1"/>
    </xf>
    <xf numFmtId="0" fontId="5" fillId="25" borderId="7" xfId="0" applyFont="1" applyFill="1" applyBorder="1" applyAlignment="1" applyProtection="1">
      <alignment shrinkToFit="1"/>
      <protection hidden="1"/>
    </xf>
    <xf numFmtId="0" fontId="5" fillId="21" borderId="0" xfId="0" applyFont="1" applyFill="1" applyAlignment="1" applyProtection="1">
      <alignment horizontal="right"/>
      <protection hidden="1"/>
    </xf>
    <xf numFmtId="1" fontId="5" fillId="21" borderId="11" xfId="0" applyNumberFormat="1" applyFont="1" applyFill="1" applyBorder="1" applyAlignment="1" applyProtection="1">
      <alignment horizontal="left"/>
      <protection hidden="1"/>
    </xf>
    <xf numFmtId="0" fontId="3" fillId="21" borderId="0" xfId="0" applyFont="1" applyFill="1" applyBorder="1" applyProtection="1">
      <protection hidden="1"/>
    </xf>
    <xf numFmtId="0" fontId="3" fillId="21" borderId="0" xfId="0" applyFont="1" applyFill="1" applyBorder="1" applyAlignment="1" applyProtection="1">
      <alignment vertical="center"/>
      <protection hidden="1"/>
    </xf>
    <xf numFmtId="0" fontId="3" fillId="21" borderId="13" xfId="0" applyFont="1" applyFill="1" applyBorder="1" applyAlignment="1" applyProtection="1">
      <alignment vertical="center"/>
      <protection hidden="1"/>
    </xf>
    <xf numFmtId="0" fontId="3" fillId="26" borderId="11" xfId="0" applyFont="1" applyFill="1" applyBorder="1" applyAlignment="1" applyProtection="1">
      <alignment shrinkToFit="1"/>
      <protection hidden="1"/>
    </xf>
    <xf numFmtId="0" fontId="1" fillId="26" borderId="0" xfId="0" applyFont="1" applyFill="1" applyBorder="1" applyProtection="1">
      <protection hidden="1"/>
    </xf>
    <xf numFmtId="2" fontId="1" fillId="26" borderId="0" xfId="0" applyNumberFormat="1" applyFont="1" applyFill="1" applyBorder="1" applyProtection="1">
      <protection hidden="1"/>
    </xf>
    <xf numFmtId="1" fontId="5" fillId="26" borderId="0" xfId="0" applyNumberFormat="1" applyFont="1" applyFill="1" applyBorder="1" applyAlignment="1" applyProtection="1">
      <alignment horizontal="right"/>
      <protection hidden="1"/>
    </xf>
    <xf numFmtId="0" fontId="5" fillId="26" borderId="11" xfId="0" applyFont="1" applyFill="1" applyBorder="1" applyAlignment="1" applyProtection="1">
      <alignment shrinkToFit="1"/>
      <protection hidden="1"/>
    </xf>
    <xf numFmtId="0" fontId="4" fillId="3" borderId="4" xfId="0" applyFont="1" applyFill="1" applyBorder="1" applyAlignment="1" applyProtection="1">
      <alignment shrinkToFit="1"/>
      <protection hidden="1"/>
    </xf>
    <xf numFmtId="0" fontId="3" fillId="21" borderId="11" xfId="0" applyFont="1" applyFill="1" applyBorder="1" applyAlignment="1" applyProtection="1">
      <alignment vertical="center"/>
      <protection hidden="1"/>
    </xf>
    <xf numFmtId="0" fontId="5" fillId="21" borderId="6" xfId="0" applyFont="1" applyFill="1" applyBorder="1" applyAlignment="1" applyProtection="1">
      <alignment horizontal="right"/>
      <protection hidden="1"/>
    </xf>
    <xf numFmtId="1" fontId="5" fillId="21" borderId="7" xfId="0" applyNumberFormat="1" applyFont="1" applyFill="1" applyBorder="1" applyAlignment="1" applyProtection="1">
      <alignment horizontal="left"/>
      <protection hidden="1"/>
    </xf>
    <xf numFmtId="0" fontId="3" fillId="21" borderId="6" xfId="0" applyFont="1" applyFill="1" applyBorder="1" applyProtection="1">
      <protection hidden="1"/>
    </xf>
    <xf numFmtId="0" fontId="3" fillId="21" borderId="6" xfId="0" applyFont="1" applyFill="1" applyBorder="1" applyAlignment="1" applyProtection="1">
      <alignment vertical="center"/>
      <protection hidden="1"/>
    </xf>
    <xf numFmtId="0" fontId="3" fillId="26" borderId="7" xfId="0" applyFont="1" applyFill="1" applyBorder="1" applyAlignment="1" applyProtection="1">
      <alignment shrinkToFit="1"/>
      <protection hidden="1"/>
    </xf>
    <xf numFmtId="0" fontId="1" fillId="26" borderId="6" xfId="0" applyFont="1" applyFill="1" applyBorder="1" applyProtection="1">
      <protection hidden="1"/>
    </xf>
    <xf numFmtId="2" fontId="1" fillId="26" borderId="6" xfId="0" applyNumberFormat="1" applyFont="1" applyFill="1" applyBorder="1" applyProtection="1">
      <protection hidden="1"/>
    </xf>
    <xf numFmtId="1" fontId="5" fillId="26" borderId="6" xfId="0" applyNumberFormat="1" applyFont="1" applyFill="1" applyBorder="1" applyAlignment="1" applyProtection="1">
      <alignment horizontal="right"/>
      <protection hidden="1"/>
    </xf>
    <xf numFmtId="0" fontId="5" fillId="26" borderId="7" xfId="0" applyFont="1" applyFill="1" applyBorder="1" applyAlignment="1" applyProtection="1">
      <alignment shrinkToFit="1"/>
      <protection hidden="1"/>
    </xf>
    <xf numFmtId="0" fontId="5" fillId="8" borderId="0" xfId="0" applyFont="1" applyFill="1" applyAlignment="1" applyProtection="1">
      <alignment horizontal="right"/>
      <protection hidden="1"/>
    </xf>
    <xf numFmtId="1" fontId="5" fillId="8" borderId="11" xfId="0" applyNumberFormat="1" applyFont="1" applyFill="1" applyBorder="1" applyAlignment="1" applyProtection="1">
      <alignment horizontal="left"/>
      <protection hidden="1"/>
    </xf>
    <xf numFmtId="0" fontId="3" fillId="8" borderId="0" xfId="0" applyFont="1" applyFill="1" applyBorder="1" applyProtection="1"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13" xfId="0" applyFont="1" applyFill="1" applyBorder="1" applyAlignment="1" applyProtection="1">
      <alignment vertical="center"/>
      <protection hidden="1"/>
    </xf>
    <xf numFmtId="0" fontId="3" fillId="12" borderId="11" xfId="0" applyFont="1" applyFill="1" applyBorder="1" applyAlignment="1" applyProtection="1">
      <alignment shrinkToFit="1"/>
      <protection hidden="1"/>
    </xf>
    <xf numFmtId="0" fontId="1" fillId="12" borderId="0" xfId="0" applyFont="1" applyFill="1" applyBorder="1" applyProtection="1">
      <protection hidden="1"/>
    </xf>
    <xf numFmtId="2" fontId="1" fillId="12" borderId="0" xfId="0" applyNumberFormat="1" applyFont="1" applyFill="1" applyBorder="1" applyProtection="1">
      <protection hidden="1"/>
    </xf>
    <xf numFmtId="1" fontId="5" fillId="12" borderId="0" xfId="0" applyNumberFormat="1" applyFont="1" applyFill="1" applyBorder="1" applyAlignment="1" applyProtection="1">
      <alignment horizontal="right"/>
      <protection hidden="1"/>
    </xf>
    <xf numFmtId="0" fontId="5" fillId="12" borderId="11" xfId="0" applyFont="1" applyFill="1" applyBorder="1" applyAlignment="1" applyProtection="1">
      <alignment shrinkToFit="1"/>
      <protection hidden="1"/>
    </xf>
    <xf numFmtId="1" fontId="7" fillId="3" borderId="0" xfId="0" applyNumberFormat="1" applyFont="1" applyFill="1" applyProtection="1">
      <protection hidden="1"/>
    </xf>
    <xf numFmtId="0" fontId="5" fillId="8" borderId="11" xfId="0" applyFont="1" applyFill="1" applyBorder="1" applyAlignment="1" applyProtection="1">
      <alignment vertical="center"/>
      <protection hidden="1"/>
    </xf>
    <xf numFmtId="0" fontId="5" fillId="8" borderId="6" xfId="0" applyFont="1" applyFill="1" applyBorder="1" applyAlignment="1" applyProtection="1">
      <alignment horizontal="right"/>
      <protection hidden="1"/>
    </xf>
    <xf numFmtId="1" fontId="5" fillId="8" borderId="7" xfId="0" applyNumberFormat="1" applyFont="1" applyFill="1" applyBorder="1" applyAlignment="1" applyProtection="1">
      <alignment horizontal="left"/>
      <protection hidden="1"/>
    </xf>
    <xf numFmtId="0" fontId="3" fillId="8" borderId="6" xfId="0" applyFont="1" applyFill="1" applyBorder="1" applyProtection="1">
      <protection hidden="1"/>
    </xf>
    <xf numFmtId="2" fontId="3" fillId="8" borderId="6" xfId="0" applyNumberFormat="1" applyFont="1" applyFill="1" applyBorder="1" applyProtection="1">
      <protection hidden="1"/>
    </xf>
    <xf numFmtId="164" fontId="3" fillId="8" borderId="6" xfId="0" applyNumberFormat="1" applyFont="1" applyFill="1" applyBorder="1" applyProtection="1">
      <protection hidden="1"/>
    </xf>
    <xf numFmtId="0" fontId="5" fillId="8" borderId="6" xfId="0" applyFont="1" applyFill="1" applyBorder="1" applyAlignment="1" applyProtection="1">
      <alignment vertical="center"/>
      <protection hidden="1"/>
    </xf>
    <xf numFmtId="0" fontId="5" fillId="8" borderId="7" xfId="0" applyFont="1" applyFill="1" applyBorder="1" applyAlignment="1" applyProtection="1">
      <alignment vertical="center"/>
      <protection hidden="1"/>
    </xf>
    <xf numFmtId="0" fontId="3" fillId="12" borderId="7" xfId="0" applyFont="1" applyFill="1" applyBorder="1" applyAlignment="1" applyProtection="1">
      <alignment shrinkToFit="1"/>
      <protection hidden="1"/>
    </xf>
    <xf numFmtId="0" fontId="1" fillId="12" borderId="6" xfId="0" applyFont="1" applyFill="1" applyBorder="1" applyProtection="1">
      <protection hidden="1"/>
    </xf>
    <xf numFmtId="2" fontId="1" fillId="12" borderId="6" xfId="0" applyNumberFormat="1" applyFont="1" applyFill="1" applyBorder="1" applyProtection="1">
      <protection hidden="1"/>
    </xf>
    <xf numFmtId="1" fontId="5" fillId="12" borderId="6" xfId="0" applyNumberFormat="1" applyFont="1" applyFill="1" applyBorder="1" applyAlignment="1" applyProtection="1">
      <alignment horizontal="right"/>
      <protection hidden="1"/>
    </xf>
    <xf numFmtId="0" fontId="5" fillId="12" borderId="7" xfId="0" applyFont="1" applyFill="1" applyBorder="1" applyAlignment="1" applyProtection="1">
      <alignment shrinkToFit="1"/>
      <protection hidden="1"/>
    </xf>
    <xf numFmtId="0" fontId="5" fillId="9" borderId="0" xfId="0" applyFont="1" applyFill="1" applyAlignment="1" applyProtection="1">
      <alignment horizontal="right"/>
      <protection hidden="1"/>
    </xf>
    <xf numFmtId="1" fontId="5" fillId="9" borderId="11" xfId="0" applyNumberFormat="1" applyFont="1" applyFill="1" applyBorder="1" applyAlignment="1" applyProtection="1">
      <alignment horizontal="left"/>
      <protection hidden="1"/>
    </xf>
    <xf numFmtId="0" fontId="3" fillId="9" borderId="0" xfId="0" applyFont="1" applyFill="1" applyBorder="1" applyProtection="1">
      <protection hidden="1"/>
    </xf>
    <xf numFmtId="2" fontId="3" fillId="9" borderId="0" xfId="0" applyNumberFormat="1" applyFont="1" applyFill="1" applyBorder="1" applyAlignment="1" applyProtection="1">
      <alignment horizontal="left"/>
      <protection hidden="1"/>
    </xf>
    <xf numFmtId="164" fontId="3" fillId="9" borderId="0" xfId="0" applyNumberFormat="1" applyFont="1" applyFill="1" applyBorder="1" applyProtection="1">
      <protection hidden="1"/>
    </xf>
    <xf numFmtId="0" fontId="5" fillId="9" borderId="0" xfId="0" applyFont="1" applyFill="1" applyBorder="1" applyAlignment="1" applyProtection="1">
      <alignment vertical="center"/>
      <protection hidden="1"/>
    </xf>
    <xf numFmtId="0" fontId="5" fillId="9" borderId="13" xfId="0" applyFont="1" applyFill="1" applyBorder="1" applyAlignment="1" applyProtection="1">
      <alignment vertical="center"/>
      <protection hidden="1"/>
    </xf>
    <xf numFmtId="0" fontId="5" fillId="27" borderId="13" xfId="0" applyFont="1" applyFill="1" applyBorder="1" applyAlignment="1" applyProtection="1">
      <alignment vertical="center" shrinkToFit="1"/>
      <protection hidden="1"/>
    </xf>
    <xf numFmtId="0" fontId="1" fillId="27" borderId="0" xfId="0" applyFont="1" applyFill="1" applyBorder="1" applyProtection="1">
      <protection hidden="1"/>
    </xf>
    <xf numFmtId="2" fontId="1" fillId="27" borderId="0" xfId="0" applyNumberFormat="1" applyFont="1" applyFill="1" applyBorder="1" applyProtection="1">
      <protection hidden="1"/>
    </xf>
    <xf numFmtId="1" fontId="3" fillId="27" borderId="0" xfId="0" applyNumberFormat="1" applyFont="1" applyFill="1" applyBorder="1" applyAlignment="1" applyProtection="1">
      <alignment horizontal="right"/>
      <protection hidden="1"/>
    </xf>
    <xf numFmtId="0" fontId="3" fillId="27" borderId="11" xfId="0" applyFont="1" applyFill="1" applyBorder="1" applyAlignment="1" applyProtection="1">
      <alignment shrinkToFit="1"/>
      <protection hidden="1"/>
    </xf>
    <xf numFmtId="0" fontId="4" fillId="9" borderId="0" xfId="0" applyFont="1" applyFill="1" applyProtection="1">
      <protection hidden="1"/>
    </xf>
    <xf numFmtId="1" fontId="4" fillId="9" borderId="11" xfId="0" applyNumberFormat="1" applyFont="1" applyFill="1" applyBorder="1" applyAlignment="1" applyProtection="1">
      <alignment horizontal="left"/>
      <protection hidden="1"/>
    </xf>
    <xf numFmtId="0" fontId="3" fillId="9" borderId="0" xfId="0" applyFont="1" applyFill="1" applyBorder="1" applyAlignment="1" applyProtection="1">
      <alignment horizontal="left"/>
      <protection hidden="1"/>
    </xf>
    <xf numFmtId="0" fontId="5" fillId="9" borderId="11" xfId="0" applyFont="1" applyFill="1" applyBorder="1" applyAlignment="1" applyProtection="1">
      <alignment vertical="center"/>
      <protection hidden="1"/>
    </xf>
    <xf numFmtId="0" fontId="5" fillId="27" borderId="11" xfId="0" applyFont="1" applyFill="1" applyBorder="1" applyAlignment="1" applyProtection="1">
      <alignment vertical="center" shrinkToFit="1"/>
      <protection hidden="1"/>
    </xf>
    <xf numFmtId="1" fontId="4" fillId="27" borderId="0" xfId="0" applyNumberFormat="1" applyFont="1" applyFill="1" applyBorder="1" applyAlignment="1" applyProtection="1">
      <alignment horizontal="right"/>
      <protection hidden="1"/>
    </xf>
    <xf numFmtId="0" fontId="4" fillId="27" borderId="11" xfId="0" applyFont="1" applyFill="1" applyBorder="1" applyProtection="1">
      <protection hidden="1"/>
    </xf>
    <xf numFmtId="1" fontId="4" fillId="27" borderId="0" xfId="0" applyNumberFormat="1" applyFont="1" applyFill="1" applyBorder="1" applyAlignment="1" applyProtection="1">
      <alignment horizontal="left"/>
      <protection hidden="1"/>
    </xf>
    <xf numFmtId="0" fontId="4" fillId="9" borderId="6" xfId="0" applyFont="1" applyFill="1" applyBorder="1" applyProtection="1">
      <protection hidden="1"/>
    </xf>
    <xf numFmtId="1" fontId="4" fillId="9" borderId="7" xfId="0" applyNumberFormat="1" applyFont="1" applyFill="1" applyBorder="1" applyAlignment="1" applyProtection="1">
      <alignment horizontal="left"/>
      <protection hidden="1"/>
    </xf>
    <xf numFmtId="0" fontId="3" fillId="9" borderId="6" xfId="0" applyFont="1" applyFill="1" applyBorder="1" applyProtection="1">
      <protection hidden="1"/>
    </xf>
    <xf numFmtId="2" fontId="3" fillId="9" borderId="6" xfId="0" applyNumberFormat="1" applyFont="1" applyFill="1" applyBorder="1" applyAlignment="1" applyProtection="1">
      <alignment horizontal="left"/>
      <protection hidden="1"/>
    </xf>
    <xf numFmtId="0" fontId="3" fillId="9" borderId="6" xfId="0" applyFont="1" applyFill="1" applyBorder="1" applyAlignment="1" applyProtection="1">
      <alignment vertical="center"/>
      <protection hidden="1"/>
    </xf>
    <xf numFmtId="164" fontId="3" fillId="9" borderId="6" xfId="0" applyNumberFormat="1" applyFont="1" applyFill="1" applyBorder="1" applyProtection="1">
      <protection hidden="1"/>
    </xf>
    <xf numFmtId="0" fontId="5" fillId="9" borderId="6" xfId="0" applyFont="1" applyFill="1" applyBorder="1" applyAlignment="1" applyProtection="1">
      <alignment vertical="center"/>
      <protection hidden="1"/>
    </xf>
    <xf numFmtId="0" fontId="5" fillId="9" borderId="7" xfId="0" applyFont="1" applyFill="1" applyBorder="1" applyAlignment="1" applyProtection="1">
      <alignment vertical="center"/>
      <protection hidden="1"/>
    </xf>
    <xf numFmtId="0" fontId="5" fillId="27" borderId="7" xfId="0" applyFont="1" applyFill="1" applyBorder="1" applyAlignment="1" applyProtection="1">
      <alignment vertical="center" shrinkToFit="1"/>
      <protection hidden="1"/>
    </xf>
    <xf numFmtId="0" fontId="1" fillId="27" borderId="10" xfId="0" applyFont="1" applyFill="1" applyBorder="1" applyProtection="1">
      <protection hidden="1"/>
    </xf>
    <xf numFmtId="0" fontId="1" fillId="27" borderId="6" xfId="0" applyFont="1" applyFill="1" applyBorder="1" applyProtection="1">
      <protection hidden="1"/>
    </xf>
    <xf numFmtId="1" fontId="4" fillId="27" borderId="6" xfId="0" applyNumberFormat="1" applyFont="1" applyFill="1" applyBorder="1" applyAlignment="1" applyProtection="1">
      <alignment horizontal="left"/>
      <protection hidden="1"/>
    </xf>
    <xf numFmtId="0" fontId="4" fillId="27" borderId="7" xfId="0" applyFont="1" applyFill="1" applyBorder="1" applyProtection="1">
      <protection hidden="1"/>
    </xf>
    <xf numFmtId="0" fontId="5" fillId="5" borderId="21" xfId="0" applyFont="1" applyFill="1" applyBorder="1" applyAlignment="1" applyProtection="1">
      <alignment horizontal="center"/>
      <protection locked="0" hidden="1"/>
    </xf>
    <xf numFmtId="0" fontId="7" fillId="2" borderId="19" xfId="0" applyFont="1" applyFill="1" applyBorder="1" applyProtection="1">
      <protection hidden="1"/>
    </xf>
    <xf numFmtId="0" fontId="4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7" fillId="2" borderId="0" xfId="0" applyFont="1" applyFill="1" applyBorder="1" applyProtection="1">
      <protection hidden="1"/>
    </xf>
    <xf numFmtId="0" fontId="7" fillId="2" borderId="0" xfId="0" applyFont="1" applyFill="1" applyBorder="1" applyAlignment="1" applyProtection="1">
      <alignment horizontal="center" vertical="center"/>
      <protection hidden="1"/>
    </xf>
    <xf numFmtId="1" fontId="7" fillId="2" borderId="0" xfId="0" applyNumberFormat="1" applyFont="1" applyFill="1" applyAlignment="1" applyProtection="1">
      <alignment horizontal="center"/>
      <protection hidden="1"/>
    </xf>
    <xf numFmtId="0" fontId="7" fillId="2" borderId="0" xfId="0" applyFont="1" applyFill="1" applyProtection="1">
      <protection hidden="1"/>
    </xf>
    <xf numFmtId="2" fontId="7" fillId="2" borderId="0" xfId="0" applyNumberFormat="1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0" fillId="2" borderId="22" xfId="0" applyFill="1" applyBorder="1" applyProtection="1">
      <protection hidden="1"/>
    </xf>
    <xf numFmtId="0" fontId="0" fillId="5" borderId="20" xfId="0" applyFill="1" applyBorder="1" applyAlignment="1" applyProtection="1">
      <alignment horizontal="center"/>
      <protection locked="0" hidden="1"/>
    </xf>
    <xf numFmtId="0" fontId="0" fillId="2" borderId="0" xfId="0" applyFill="1" applyProtection="1">
      <protection locked="0" hidden="1"/>
    </xf>
    <xf numFmtId="0" fontId="4" fillId="5" borderId="23" xfId="0" applyFont="1" applyFill="1" applyBorder="1" applyAlignment="1" applyProtection="1">
      <alignment horizontal="center"/>
      <protection locked="0" hidden="1"/>
    </xf>
    <xf numFmtId="0" fontId="7" fillId="2" borderId="0" xfId="0" applyFont="1" applyFill="1" applyAlignment="1" applyProtection="1">
      <alignment horizontal="right"/>
      <protection hidden="1"/>
    </xf>
    <xf numFmtId="2" fontId="7" fillId="2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0" fillId="4" borderId="12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4" borderId="13" xfId="0" applyFill="1" applyBorder="1" applyProtection="1">
      <protection hidden="1"/>
    </xf>
    <xf numFmtId="0" fontId="5" fillId="4" borderId="9" xfId="0" applyFont="1" applyFill="1" applyBorder="1" applyProtection="1">
      <protection hidden="1"/>
    </xf>
    <xf numFmtId="0" fontId="5" fillId="4" borderId="0" xfId="0" applyFont="1" applyFill="1" applyBorder="1" applyProtection="1">
      <protection hidden="1"/>
    </xf>
    <xf numFmtId="1" fontId="19" fillId="4" borderId="0" xfId="0" applyNumberFormat="1" applyFont="1" applyFill="1" applyBorder="1" applyAlignment="1" applyProtection="1">
      <alignment horizontal="center"/>
      <protection locked="0" hidden="1"/>
    </xf>
    <xf numFmtId="0" fontId="4" fillId="4" borderId="0" xfId="0" applyFont="1" applyFill="1" applyBorder="1" applyAlignment="1" applyProtection="1">
      <protection hidden="1"/>
    </xf>
    <xf numFmtId="0" fontId="0" fillId="4" borderId="11" xfId="0" applyFill="1" applyBorder="1" applyProtection="1">
      <protection hidden="1"/>
    </xf>
    <xf numFmtId="0" fontId="19" fillId="4" borderId="0" xfId="0" applyFont="1" applyFill="1" applyBorder="1" applyAlignment="1" applyProtection="1">
      <alignment horizontal="center"/>
      <protection locked="0" hidden="1"/>
    </xf>
    <xf numFmtId="0" fontId="0" fillId="4" borderId="0" xfId="0" applyFill="1" applyBorder="1" applyProtection="1">
      <protection hidden="1"/>
    </xf>
    <xf numFmtId="0" fontId="4" fillId="4" borderId="0" xfId="0" applyFont="1" applyFill="1" applyProtection="1">
      <protection hidden="1"/>
    </xf>
    <xf numFmtId="0" fontId="13" fillId="4" borderId="0" xfId="0" applyFont="1" applyFill="1" applyBorder="1" applyAlignment="1" applyProtection="1">
      <alignment horizontal="left"/>
      <protection hidden="1"/>
    </xf>
    <xf numFmtId="0" fontId="5" fillId="4" borderId="9" xfId="0" applyFont="1" applyFill="1" applyBorder="1" applyAlignment="1" applyProtection="1">
      <alignment horizontal="center"/>
      <protection hidden="1"/>
    </xf>
    <xf numFmtId="0" fontId="5" fillId="4" borderId="0" xfId="0" applyFont="1" applyFill="1" applyBorder="1" applyAlignment="1" applyProtection="1">
      <alignment horizontal="center"/>
      <protection hidden="1"/>
    </xf>
    <xf numFmtId="0" fontId="0" fillId="4" borderId="0" xfId="0" applyFill="1" applyBorder="1" applyAlignment="1" applyProtection="1">
      <alignment horizontal="left"/>
      <protection hidden="1"/>
    </xf>
    <xf numFmtId="0" fontId="0" fillId="4" borderId="10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7" xfId="0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right"/>
      <protection hidden="1"/>
    </xf>
    <xf numFmtId="0" fontId="0" fillId="3" borderId="0" xfId="0" applyFill="1" applyBorder="1" applyAlignment="1" applyProtection="1">
      <alignment horizontal="center"/>
      <protection hidden="1"/>
    </xf>
    <xf numFmtId="1" fontId="4" fillId="3" borderId="0" xfId="0" applyNumberFormat="1" applyFont="1" applyFill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left"/>
      <protection hidden="1"/>
    </xf>
    <xf numFmtId="1" fontId="0" fillId="3" borderId="0" xfId="0" applyNumberFormat="1" applyFill="1" applyBorder="1" applyAlignment="1" applyProtection="1">
      <alignment horizontal="center"/>
      <protection hidden="1"/>
    </xf>
    <xf numFmtId="0" fontId="0" fillId="3" borderId="0" xfId="0" applyFill="1" applyAlignment="1" applyProtection="1">
      <alignment horizontal="center"/>
      <protection hidden="1"/>
    </xf>
    <xf numFmtId="1" fontId="0" fillId="3" borderId="0" xfId="0" applyNumberFormat="1" applyFill="1" applyAlignment="1" applyProtection="1">
      <alignment horizontal="center"/>
      <protection hidden="1"/>
    </xf>
    <xf numFmtId="0" fontId="5" fillId="13" borderId="12" xfId="0" applyFont="1" applyFill="1" applyBorder="1" applyAlignment="1">
      <alignment horizontal="center" vertical="center"/>
    </xf>
    <xf numFmtId="0" fontId="5" fillId="13" borderId="5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/>
    </xf>
    <xf numFmtId="0" fontId="5" fillId="13" borderId="9" xfId="0" applyFont="1" applyFill="1" applyBorder="1" applyAlignment="1">
      <alignment horizontal="center" vertical="center"/>
    </xf>
    <xf numFmtId="0" fontId="5" fillId="13" borderId="0" xfId="0" applyFont="1" applyFill="1" applyBorder="1" applyAlignment="1">
      <alignment horizontal="center" vertical="center"/>
    </xf>
    <xf numFmtId="0" fontId="5" fillId="13" borderId="11" xfId="0" applyFont="1" applyFill="1" applyBorder="1" applyAlignment="1">
      <alignment horizontal="center" vertical="center"/>
    </xf>
    <xf numFmtId="0" fontId="5" fillId="13" borderId="10" xfId="0" applyFont="1" applyFill="1" applyBorder="1" applyAlignment="1">
      <alignment horizontal="center" vertical="center"/>
    </xf>
    <xf numFmtId="0" fontId="5" fillId="13" borderId="6" xfId="0" applyFont="1" applyFill="1" applyBorder="1" applyAlignment="1">
      <alignment horizontal="center" vertical="center"/>
    </xf>
    <xf numFmtId="0" fontId="5" fillId="13" borderId="7" xfId="0" applyFont="1" applyFill="1" applyBorder="1" applyAlignment="1">
      <alignment horizontal="center" vertical="center"/>
    </xf>
    <xf numFmtId="0" fontId="26" fillId="8" borderId="9" xfId="0" applyFont="1" applyFill="1" applyBorder="1" applyAlignment="1">
      <alignment horizontal="center" vertical="center"/>
    </xf>
    <xf numFmtId="0" fontId="26" fillId="8" borderId="0" xfId="0" applyFont="1" applyFill="1" applyBorder="1" applyAlignment="1">
      <alignment horizontal="center" vertical="center"/>
    </xf>
    <xf numFmtId="0" fontId="5" fillId="14" borderId="12" xfId="0" applyFont="1" applyFill="1" applyBorder="1" applyAlignment="1">
      <alignment horizontal="center" vertical="center"/>
    </xf>
    <xf numFmtId="0" fontId="5" fillId="14" borderId="5" xfId="0" applyFont="1" applyFill="1" applyBorder="1" applyAlignment="1">
      <alignment horizontal="center" vertical="center"/>
    </xf>
    <xf numFmtId="0" fontId="5" fillId="14" borderId="13" xfId="0" applyFont="1" applyFill="1" applyBorder="1" applyAlignment="1">
      <alignment horizontal="center" vertical="center"/>
    </xf>
    <xf numFmtId="0" fontId="5" fillId="14" borderId="10" xfId="0" applyFont="1" applyFill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0" fontId="5" fillId="14" borderId="7" xfId="0" applyFont="1" applyFill="1" applyBorder="1" applyAlignment="1">
      <alignment horizontal="center" vertical="center"/>
    </xf>
    <xf numFmtId="164" fontId="5" fillId="8" borderId="12" xfId="0" applyNumberFormat="1" applyFont="1" applyFill="1" applyBorder="1" applyAlignment="1" applyProtection="1">
      <alignment horizontal="center" vertical="center"/>
      <protection hidden="1"/>
    </xf>
    <xf numFmtId="164" fontId="5" fillId="8" borderId="5" xfId="0" applyNumberFormat="1" applyFont="1" applyFill="1" applyBorder="1" applyAlignment="1" applyProtection="1">
      <alignment horizontal="center" vertical="center"/>
      <protection hidden="1"/>
    </xf>
    <xf numFmtId="164" fontId="5" fillId="8" borderId="10" xfId="0" applyNumberFormat="1" applyFont="1" applyFill="1" applyBorder="1" applyAlignment="1" applyProtection="1">
      <alignment horizontal="center" vertical="center"/>
      <protection hidden="1"/>
    </xf>
    <xf numFmtId="164" fontId="5" fillId="8" borderId="6" xfId="0" applyNumberFormat="1" applyFont="1" applyFill="1" applyBorder="1" applyAlignment="1" applyProtection="1">
      <alignment horizontal="center" vertical="center"/>
      <protection hidden="1"/>
    </xf>
    <xf numFmtId="0" fontId="29" fillId="8" borderId="13" xfId="0" applyFont="1" applyFill="1" applyBorder="1" applyAlignment="1">
      <alignment horizontal="left" vertical="center"/>
    </xf>
    <xf numFmtId="0" fontId="29" fillId="8" borderId="7" xfId="0" applyFont="1" applyFill="1" applyBorder="1" applyAlignment="1">
      <alignment horizontal="left" vertical="center"/>
    </xf>
    <xf numFmtId="2" fontId="5" fillId="8" borderId="9" xfId="0" applyNumberFormat="1" applyFont="1" applyFill="1" applyBorder="1" applyAlignment="1" applyProtection="1">
      <alignment horizontal="center"/>
      <protection hidden="1"/>
    </xf>
    <xf numFmtId="0" fontId="5" fillId="8" borderId="0" xfId="0" applyFont="1" applyFill="1" applyBorder="1" applyAlignment="1" applyProtection="1">
      <alignment horizontal="center"/>
      <protection hidden="1"/>
    </xf>
    <xf numFmtId="164" fontId="5" fillId="8" borderId="9" xfId="0" applyNumberFormat="1" applyFont="1" applyFill="1" applyBorder="1" applyAlignment="1" applyProtection="1">
      <alignment horizontal="center" vertical="center"/>
      <protection hidden="1"/>
    </xf>
    <xf numFmtId="164" fontId="5" fillId="8" borderId="0" xfId="0" applyNumberFormat="1" applyFont="1" applyFill="1" applyBorder="1" applyAlignment="1" applyProtection="1">
      <alignment horizontal="center" vertical="center"/>
      <protection hidden="1"/>
    </xf>
    <xf numFmtId="0" fontId="19" fillId="8" borderId="13" xfId="0" applyFont="1" applyFill="1" applyBorder="1" applyAlignment="1">
      <alignment horizontal="left" vertical="center"/>
    </xf>
    <xf numFmtId="0" fontId="19" fillId="8" borderId="11" xfId="0" applyFont="1" applyFill="1" applyBorder="1" applyAlignment="1">
      <alignment horizontal="left" vertical="center"/>
    </xf>
    <xf numFmtId="0" fontId="20" fillId="8" borderId="0" xfId="0" applyFont="1" applyFill="1" applyBorder="1" applyAlignment="1" applyProtection="1">
      <alignment horizontal="center"/>
      <protection locked="0"/>
    </xf>
    <xf numFmtId="1" fontId="5" fillId="8" borderId="12" xfId="0" applyNumberFormat="1" applyFont="1" applyFill="1" applyBorder="1" applyAlignment="1" applyProtection="1">
      <alignment horizontal="center" vertical="center"/>
      <protection hidden="1"/>
    </xf>
    <xf numFmtId="1" fontId="5" fillId="8" borderId="5" xfId="0" applyNumberFormat="1" applyFont="1" applyFill="1" applyBorder="1" applyAlignment="1" applyProtection="1">
      <alignment horizontal="center" vertical="center"/>
      <protection hidden="1"/>
    </xf>
    <xf numFmtId="1" fontId="5" fillId="8" borderId="9" xfId="0" applyNumberFormat="1" applyFont="1" applyFill="1" applyBorder="1" applyAlignment="1" applyProtection="1">
      <alignment horizontal="center" vertical="center"/>
      <protection hidden="1"/>
    </xf>
    <xf numFmtId="1" fontId="5" fillId="8" borderId="0" xfId="0" applyNumberFormat="1" applyFont="1" applyFill="1" applyBorder="1" applyAlignment="1" applyProtection="1">
      <alignment horizontal="center" vertical="center"/>
      <protection hidden="1"/>
    </xf>
    <xf numFmtId="0" fontId="27" fillId="8" borderId="0" xfId="0" applyFont="1" applyFill="1" applyBorder="1" applyAlignment="1">
      <alignment horizontal="left" vertical="center"/>
    </xf>
    <xf numFmtId="0" fontId="27" fillId="8" borderId="11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35" fillId="11" borderId="12" xfId="0" applyFont="1" applyFill="1" applyBorder="1" applyAlignment="1">
      <alignment horizontal="center" vertical="center"/>
    </xf>
    <xf numFmtId="0" fontId="35" fillId="11" borderId="5" xfId="0" applyFont="1" applyFill="1" applyBorder="1" applyAlignment="1">
      <alignment horizontal="center" vertical="center"/>
    </xf>
    <xf numFmtId="0" fontId="35" fillId="11" borderId="13" xfId="0" applyFont="1" applyFill="1" applyBorder="1" applyAlignment="1">
      <alignment horizontal="center" vertical="center"/>
    </xf>
    <xf numFmtId="0" fontId="35" fillId="11" borderId="9" xfId="0" applyFont="1" applyFill="1" applyBorder="1" applyAlignment="1">
      <alignment horizontal="center" vertical="center"/>
    </xf>
    <xf numFmtId="0" fontId="35" fillId="11" borderId="0" xfId="0" applyFont="1" applyFill="1" applyBorder="1" applyAlignment="1">
      <alignment horizontal="center" vertical="center"/>
    </xf>
    <xf numFmtId="0" fontId="35" fillId="11" borderId="11" xfId="0" applyFont="1" applyFill="1" applyBorder="1" applyAlignment="1">
      <alignment horizontal="center" vertical="center"/>
    </xf>
    <xf numFmtId="0" fontId="35" fillId="11" borderId="10" xfId="0" applyFont="1" applyFill="1" applyBorder="1" applyAlignment="1">
      <alignment horizontal="center" vertical="center"/>
    </xf>
    <xf numFmtId="0" fontId="35" fillId="11" borderId="6" xfId="0" applyFont="1" applyFill="1" applyBorder="1" applyAlignment="1">
      <alignment horizontal="center" vertical="center"/>
    </xf>
    <xf numFmtId="0" fontId="35" fillId="11" borderId="7" xfId="0" applyFont="1" applyFill="1" applyBorder="1" applyAlignment="1">
      <alignment horizontal="center" vertical="center"/>
    </xf>
    <xf numFmtId="0" fontId="36" fillId="12" borderId="24" xfId="0" applyFont="1" applyFill="1" applyBorder="1" applyAlignment="1" applyProtection="1">
      <alignment horizontal="center" vertical="center"/>
      <protection locked="0"/>
    </xf>
    <xf numFmtId="0" fontId="36" fillId="12" borderId="25" xfId="0" applyFont="1" applyFill="1" applyBorder="1" applyAlignment="1" applyProtection="1">
      <alignment horizontal="center" vertical="center"/>
      <protection locked="0"/>
    </xf>
    <xf numFmtId="0" fontId="36" fillId="12" borderId="26" xfId="0" applyFont="1" applyFill="1" applyBorder="1" applyAlignment="1" applyProtection="1">
      <alignment horizontal="center" vertical="center"/>
      <protection locked="0"/>
    </xf>
    <xf numFmtId="0" fontId="43" fillId="15" borderId="0" xfId="0" applyFont="1" applyFill="1" applyBorder="1" applyAlignment="1">
      <alignment horizontal="center"/>
    </xf>
    <xf numFmtId="0" fontId="30" fillId="18" borderId="31" xfId="0" applyFont="1" applyFill="1" applyBorder="1" applyAlignment="1" applyProtection="1">
      <alignment horizontal="center" vertical="center" wrapText="1"/>
      <protection hidden="1"/>
    </xf>
    <xf numFmtId="0" fontId="30" fillId="18" borderId="1" xfId="0" applyFont="1" applyFill="1" applyBorder="1" applyAlignment="1" applyProtection="1">
      <alignment horizontal="center" vertical="center" wrapText="1"/>
      <protection hidden="1"/>
    </xf>
    <xf numFmtId="0" fontId="30" fillId="18" borderId="36" xfId="0" applyFont="1" applyFill="1" applyBorder="1" applyAlignment="1" applyProtection="1">
      <alignment horizontal="center" vertical="center" wrapText="1"/>
      <protection hidden="1"/>
    </xf>
    <xf numFmtId="0" fontId="5" fillId="20" borderId="31" xfId="0" applyFont="1" applyFill="1" applyBorder="1" applyAlignment="1" applyProtection="1">
      <alignment horizontal="center" vertical="center" wrapText="1" shrinkToFit="1"/>
      <protection hidden="1"/>
    </xf>
    <xf numFmtId="0" fontId="5" fillId="20" borderId="1" xfId="0" applyFont="1" applyFill="1" applyBorder="1" applyAlignment="1" applyProtection="1">
      <alignment horizontal="center" vertical="center" wrapText="1" shrinkToFit="1"/>
      <protection hidden="1"/>
    </xf>
    <xf numFmtId="0" fontId="5" fillId="20" borderId="36" xfId="0" applyFont="1" applyFill="1" applyBorder="1" applyAlignment="1" applyProtection="1">
      <alignment horizontal="center" vertical="center" wrapText="1" shrinkToFit="1"/>
      <protection hidden="1"/>
    </xf>
    <xf numFmtId="0" fontId="5" fillId="10" borderId="3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0" fontId="0" fillId="15" borderId="0" xfId="0" applyFill="1" applyBorder="1" applyAlignment="1">
      <alignment horizontal="center"/>
    </xf>
    <xf numFmtId="0" fontId="5" fillId="17" borderId="31" xfId="0" applyFont="1" applyFill="1" applyBorder="1" applyAlignment="1" applyProtection="1">
      <alignment horizontal="center" vertical="center" wrapText="1"/>
      <protection hidden="1"/>
    </xf>
    <xf numFmtId="0" fontId="5" fillId="17" borderId="1" xfId="0" applyFont="1" applyFill="1" applyBorder="1" applyAlignment="1" applyProtection="1">
      <alignment horizontal="center" vertical="center" wrapText="1"/>
      <protection hidden="1"/>
    </xf>
    <xf numFmtId="0" fontId="5" fillId="17" borderId="36" xfId="0" applyFont="1" applyFill="1" applyBorder="1" applyAlignment="1" applyProtection="1">
      <alignment horizontal="center" vertical="center" wrapText="1"/>
      <protection hidden="1"/>
    </xf>
    <xf numFmtId="0" fontId="5" fillId="12" borderId="31" xfId="0" applyFont="1" applyFill="1" applyBorder="1" applyAlignment="1" applyProtection="1">
      <alignment horizontal="center" vertical="center" wrapText="1" shrinkToFit="1"/>
      <protection hidden="1"/>
    </xf>
    <xf numFmtId="0" fontId="5" fillId="12" borderId="1" xfId="0" applyFont="1" applyFill="1" applyBorder="1" applyAlignment="1" applyProtection="1">
      <alignment horizontal="center" vertical="center" wrapText="1" shrinkToFit="1"/>
      <protection hidden="1"/>
    </xf>
    <xf numFmtId="0" fontId="5" fillId="12" borderId="36" xfId="0" applyFont="1" applyFill="1" applyBorder="1" applyAlignment="1" applyProtection="1">
      <alignment horizontal="center" vertical="center" wrapText="1" shrinkToFit="1"/>
      <protection hidden="1"/>
    </xf>
    <xf numFmtId="0" fontId="5" fillId="16" borderId="3" xfId="0" applyFont="1" applyFill="1" applyBorder="1" applyAlignment="1" applyProtection="1">
      <alignment horizontal="center" vertical="center" wrapText="1" shrinkToFit="1"/>
      <protection hidden="1"/>
    </xf>
    <xf numFmtId="0" fontId="5" fillId="16" borderId="1" xfId="0" applyFont="1" applyFill="1" applyBorder="1" applyAlignment="1" applyProtection="1">
      <alignment horizontal="center" vertical="center" wrapText="1" shrinkToFit="1"/>
      <protection hidden="1"/>
    </xf>
    <xf numFmtId="0" fontId="5" fillId="16" borderId="2" xfId="0" applyFont="1" applyFill="1" applyBorder="1" applyAlignment="1" applyProtection="1">
      <alignment horizontal="center" vertical="center" wrapText="1" shrinkToFit="1"/>
      <protection hidden="1"/>
    </xf>
    <xf numFmtId="0" fontId="5" fillId="19" borderId="3" xfId="0" applyFont="1" applyFill="1" applyBorder="1" applyAlignment="1" applyProtection="1">
      <alignment horizontal="distributed" vertical="distributed" wrapText="1" shrinkToFit="1"/>
      <protection hidden="1"/>
    </xf>
    <xf numFmtId="0" fontId="5" fillId="19" borderId="1" xfId="0" applyFont="1" applyFill="1" applyBorder="1" applyAlignment="1" applyProtection="1">
      <alignment horizontal="distributed" vertical="distributed" wrapText="1" shrinkToFit="1"/>
      <protection hidden="1"/>
    </xf>
    <xf numFmtId="0" fontId="5" fillId="19" borderId="36" xfId="0" applyFont="1" applyFill="1" applyBorder="1" applyAlignment="1" applyProtection="1">
      <alignment horizontal="distributed" vertical="distributed" wrapText="1" shrinkToFit="1"/>
      <protection hidden="1"/>
    </xf>
    <xf numFmtId="0" fontId="3" fillId="19" borderId="3" xfId="0" applyFont="1" applyFill="1" applyBorder="1" applyAlignment="1" applyProtection="1">
      <alignment horizontal="center" vertical="center"/>
      <protection hidden="1"/>
    </xf>
    <xf numFmtId="0" fontId="3" fillId="19" borderId="1" xfId="0" applyFont="1" applyFill="1" applyBorder="1" applyAlignment="1" applyProtection="1">
      <alignment horizontal="center" vertical="center"/>
      <protection hidden="1"/>
    </xf>
    <xf numFmtId="0" fontId="3" fillId="19" borderId="36" xfId="0" applyFont="1" applyFill="1" applyBorder="1" applyAlignment="1" applyProtection="1">
      <alignment horizontal="center" vertical="center"/>
      <protection hidden="1"/>
    </xf>
    <xf numFmtId="0" fontId="3" fillId="12" borderId="31" xfId="0" applyFont="1" applyFill="1" applyBorder="1" applyAlignment="1" applyProtection="1">
      <alignment horizontal="center" vertical="center"/>
      <protection hidden="1"/>
    </xf>
    <xf numFmtId="0" fontId="3" fillId="12" borderId="1" xfId="0" applyFont="1" applyFill="1" applyBorder="1" applyAlignment="1" applyProtection="1">
      <alignment horizontal="center" vertical="center"/>
      <protection hidden="1"/>
    </xf>
    <xf numFmtId="0" fontId="3" fillId="12" borderId="36" xfId="0" applyFont="1" applyFill="1" applyBorder="1" applyAlignment="1" applyProtection="1">
      <alignment horizontal="center" vertical="center"/>
      <protection hidden="1"/>
    </xf>
    <xf numFmtId="0" fontId="3" fillId="17" borderId="31" xfId="0" applyFont="1" applyFill="1" applyBorder="1" applyAlignment="1" applyProtection="1">
      <alignment horizontal="center" vertical="center"/>
      <protection hidden="1"/>
    </xf>
    <xf numFmtId="0" fontId="3" fillId="17" borderId="1" xfId="0" applyFont="1" applyFill="1" applyBorder="1" applyAlignment="1" applyProtection="1">
      <alignment horizontal="center" vertical="center"/>
      <protection hidden="1"/>
    </xf>
    <xf numFmtId="0" fontId="3" fillId="17" borderId="36" xfId="0" applyFont="1" applyFill="1" applyBorder="1" applyAlignment="1" applyProtection="1">
      <alignment horizontal="center" vertical="center"/>
      <protection hidden="1"/>
    </xf>
    <xf numFmtId="0" fontId="3" fillId="16" borderId="3" xfId="0" applyFont="1" applyFill="1" applyBorder="1" applyAlignment="1" applyProtection="1">
      <alignment horizontal="center" vertical="center"/>
      <protection hidden="1"/>
    </xf>
    <xf numFmtId="0" fontId="3" fillId="16" borderId="1" xfId="0" applyFont="1" applyFill="1" applyBorder="1" applyAlignment="1" applyProtection="1">
      <alignment horizontal="center" vertical="center"/>
      <protection hidden="1"/>
    </xf>
    <xf numFmtId="0" fontId="3" fillId="16" borderId="2" xfId="0" applyFont="1" applyFill="1" applyBorder="1" applyAlignment="1" applyProtection="1">
      <alignment horizontal="center" vertical="center"/>
      <protection hidden="1"/>
    </xf>
    <xf numFmtId="0" fontId="3" fillId="18" borderId="31" xfId="0" applyFont="1" applyFill="1" applyBorder="1" applyAlignment="1" applyProtection="1">
      <alignment horizontal="center" vertical="center"/>
      <protection hidden="1"/>
    </xf>
    <xf numFmtId="0" fontId="3" fillId="18" borderId="1" xfId="0" applyFont="1" applyFill="1" applyBorder="1" applyAlignment="1" applyProtection="1">
      <alignment horizontal="center" vertical="center"/>
      <protection hidden="1"/>
    </xf>
    <xf numFmtId="0" fontId="3" fillId="18" borderId="36" xfId="0" applyFont="1" applyFill="1" applyBorder="1" applyAlignment="1" applyProtection="1">
      <alignment horizontal="center" vertical="center"/>
      <protection hidden="1"/>
    </xf>
    <xf numFmtId="0" fontId="3" fillId="20" borderId="31" xfId="0" applyFont="1" applyFill="1" applyBorder="1" applyAlignment="1" applyProtection="1">
      <alignment horizontal="center" vertical="center"/>
      <protection hidden="1"/>
    </xf>
    <xf numFmtId="0" fontId="3" fillId="20" borderId="1" xfId="0" applyFont="1" applyFill="1" applyBorder="1" applyAlignment="1" applyProtection="1">
      <alignment horizontal="center" vertical="center"/>
      <protection hidden="1"/>
    </xf>
    <xf numFmtId="0" fontId="3" fillId="20" borderId="36" xfId="0" applyFont="1" applyFill="1" applyBorder="1" applyAlignment="1" applyProtection="1">
      <alignment horizontal="center" vertical="center"/>
      <protection hidden="1"/>
    </xf>
    <xf numFmtId="0" fontId="6" fillId="15" borderId="0" xfId="1" applyFill="1" applyBorder="1" applyAlignment="1" applyProtection="1">
      <alignment horizontal="center"/>
    </xf>
    <xf numFmtId="0" fontId="40" fillId="10" borderId="31" xfId="0" applyFont="1" applyFill="1" applyBorder="1" applyAlignment="1">
      <alignment horizontal="center"/>
    </xf>
    <xf numFmtId="0" fontId="40" fillId="10" borderId="32" xfId="0" applyFont="1" applyFill="1" applyBorder="1" applyAlignment="1">
      <alignment horizontal="center"/>
    </xf>
    <xf numFmtId="0" fontId="44" fillId="8" borderId="34" xfId="0" applyFont="1" applyFill="1" applyBorder="1" applyAlignment="1">
      <alignment horizontal="center" vertical="center" textRotation="90"/>
    </xf>
    <xf numFmtId="0" fontId="44" fillId="8" borderId="42" xfId="0" applyFont="1" applyFill="1" applyBorder="1" applyAlignment="1">
      <alignment horizontal="center" vertical="center" textRotation="90"/>
    </xf>
    <xf numFmtId="0" fontId="44" fillId="8" borderId="44" xfId="0" applyFont="1" applyFill="1" applyBorder="1" applyAlignment="1">
      <alignment horizontal="center" vertical="center" textRotation="90"/>
    </xf>
    <xf numFmtId="0" fontId="7" fillId="15" borderId="39" xfId="0" applyFont="1" applyFill="1" applyBorder="1" applyAlignment="1">
      <alignment horizontal="center"/>
    </xf>
    <xf numFmtId="0" fontId="7" fillId="15" borderId="6" xfId="0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 vertical="center"/>
    </xf>
    <xf numFmtId="0" fontId="5" fillId="10" borderId="33" xfId="0" applyFont="1" applyFill="1" applyBorder="1" applyAlignment="1">
      <alignment horizontal="center" vertical="center"/>
    </xf>
    <xf numFmtId="0" fontId="5" fillId="10" borderId="41" xfId="0" applyFont="1" applyFill="1" applyBorder="1" applyAlignment="1">
      <alignment horizontal="center" vertical="center"/>
    </xf>
    <xf numFmtId="0" fontId="8" fillId="15" borderId="0" xfId="0" applyFont="1" applyFill="1" applyBorder="1" applyAlignment="1">
      <alignment horizontal="center"/>
    </xf>
    <xf numFmtId="0" fontId="2" fillId="15" borderId="0" xfId="0" applyFont="1" applyFill="1" applyBorder="1" applyAlignment="1">
      <alignment horizontal="center"/>
    </xf>
    <xf numFmtId="0" fontId="3" fillId="26" borderId="38" xfId="0" applyFont="1" applyFill="1" applyBorder="1" applyAlignment="1" applyProtection="1">
      <alignment horizontal="center" vertical="center" shrinkToFit="1"/>
      <protection hidden="1"/>
    </xf>
    <xf numFmtId="0" fontId="3" fillId="26" borderId="46" xfId="0" applyFont="1" applyFill="1" applyBorder="1" applyAlignment="1" applyProtection="1">
      <alignment horizontal="center" vertical="center" shrinkToFit="1"/>
      <protection hidden="1"/>
    </xf>
    <xf numFmtId="0" fontId="3" fillId="26" borderId="48" xfId="0" applyFont="1" applyFill="1" applyBorder="1" applyAlignment="1" applyProtection="1">
      <alignment horizontal="center" vertical="center" shrinkToFit="1"/>
      <protection hidden="1"/>
    </xf>
    <xf numFmtId="0" fontId="5" fillId="27" borderId="47" xfId="0" applyFont="1" applyFill="1" applyBorder="1" applyAlignment="1" applyProtection="1">
      <alignment horizontal="center" vertical="center" shrinkToFit="1"/>
      <protection hidden="1"/>
    </xf>
    <xf numFmtId="0" fontId="5" fillId="27" borderId="46" xfId="0" applyFont="1" applyFill="1" applyBorder="1" applyAlignment="1" applyProtection="1">
      <alignment horizontal="center" vertical="center" shrinkToFit="1"/>
      <protection hidden="1"/>
    </xf>
    <xf numFmtId="0" fontId="5" fillId="27" borderId="48" xfId="0" applyFont="1" applyFill="1" applyBorder="1" applyAlignment="1" applyProtection="1">
      <alignment horizontal="center" vertical="center" shrinkToFit="1"/>
      <protection hidden="1"/>
    </xf>
    <xf numFmtId="0" fontId="5" fillId="27" borderId="0" xfId="0" applyFont="1" applyFill="1" applyBorder="1" applyAlignment="1" applyProtection="1">
      <alignment horizontal="center" vertical="center" wrapText="1" shrinkToFit="1"/>
      <protection hidden="1"/>
    </xf>
    <xf numFmtId="0" fontId="5" fillId="27" borderId="6" xfId="0" applyFont="1" applyFill="1" applyBorder="1" applyAlignment="1" applyProtection="1">
      <alignment horizontal="center" vertical="center" wrapText="1" shrinkToFit="1"/>
      <protection hidden="1"/>
    </xf>
    <xf numFmtId="0" fontId="5" fillId="27" borderId="38" xfId="0" applyFont="1" applyFill="1" applyBorder="1" applyAlignment="1" applyProtection="1">
      <alignment horizontal="center" vertical="center" shrinkToFit="1"/>
      <protection hidden="1"/>
    </xf>
    <xf numFmtId="0" fontId="3" fillId="12" borderId="0" xfId="0" applyFont="1" applyFill="1" applyBorder="1" applyAlignment="1" applyProtection="1">
      <alignment horizontal="center" vertical="center" wrapText="1" shrinkToFit="1"/>
      <protection hidden="1"/>
    </xf>
    <xf numFmtId="0" fontId="3" fillId="12" borderId="6" xfId="0" applyFont="1" applyFill="1" applyBorder="1" applyAlignment="1" applyProtection="1">
      <alignment horizontal="center" vertical="center" wrapText="1" shrinkToFit="1"/>
      <protection hidden="1"/>
    </xf>
    <xf numFmtId="0" fontId="5" fillId="12" borderId="46" xfId="0" applyFont="1" applyFill="1" applyBorder="1" applyAlignment="1" applyProtection="1">
      <alignment horizontal="center" vertical="center" shrinkToFit="1"/>
      <protection hidden="1"/>
    </xf>
    <xf numFmtId="0" fontId="5" fillId="12" borderId="48" xfId="0" applyFont="1" applyFill="1" applyBorder="1" applyAlignment="1" applyProtection="1">
      <alignment horizontal="center" vertical="center" shrinkToFit="1"/>
      <protection hidden="1"/>
    </xf>
    <xf numFmtId="0" fontId="3" fillId="27" borderId="47" xfId="0" applyFont="1" applyFill="1" applyBorder="1" applyAlignment="1" applyProtection="1">
      <alignment horizontal="center" vertical="center"/>
      <protection hidden="1"/>
    </xf>
    <xf numFmtId="0" fontId="3" fillId="27" borderId="46" xfId="0" applyFont="1" applyFill="1" applyBorder="1" applyAlignment="1" applyProtection="1">
      <alignment horizontal="center" vertical="center"/>
      <protection hidden="1"/>
    </xf>
    <xf numFmtId="0" fontId="3" fillId="27" borderId="48" xfId="0" applyFont="1" applyFill="1" applyBorder="1" applyAlignment="1" applyProtection="1">
      <alignment horizontal="center" vertical="center"/>
      <protection hidden="1"/>
    </xf>
    <xf numFmtId="0" fontId="1" fillId="24" borderId="9" xfId="0" applyFont="1" applyFill="1" applyBorder="1" applyAlignment="1" applyProtection="1">
      <alignment horizontal="center"/>
      <protection hidden="1"/>
    </xf>
    <xf numFmtId="0" fontId="1" fillId="24" borderId="0" xfId="0" applyFont="1" applyFill="1" applyBorder="1" applyAlignment="1" applyProtection="1">
      <alignment horizontal="center"/>
      <protection hidden="1"/>
    </xf>
    <xf numFmtId="0" fontId="1" fillId="24" borderId="11" xfId="0" applyFont="1" applyFill="1" applyBorder="1" applyAlignment="1" applyProtection="1">
      <alignment horizontal="center"/>
      <protection hidden="1"/>
    </xf>
    <xf numFmtId="0" fontId="1" fillId="25" borderId="9" xfId="0" applyFont="1" applyFill="1" applyBorder="1" applyAlignment="1" applyProtection="1">
      <alignment horizontal="center"/>
      <protection hidden="1"/>
    </xf>
    <xf numFmtId="0" fontId="1" fillId="25" borderId="0" xfId="0" applyFont="1" applyFill="1" applyBorder="1" applyAlignment="1" applyProtection="1">
      <alignment horizontal="center"/>
      <protection hidden="1"/>
    </xf>
    <xf numFmtId="0" fontId="1" fillId="25" borderId="11" xfId="0" applyFont="1" applyFill="1" applyBorder="1" applyAlignment="1" applyProtection="1">
      <alignment horizontal="center"/>
      <protection hidden="1"/>
    </xf>
    <xf numFmtId="0" fontId="1" fillId="26" borderId="9" xfId="0" applyFont="1" applyFill="1" applyBorder="1" applyAlignment="1" applyProtection="1">
      <alignment horizontal="center"/>
      <protection hidden="1"/>
    </xf>
    <xf numFmtId="0" fontId="1" fillId="26" borderId="0" xfId="0" applyFont="1" applyFill="1" applyBorder="1" applyAlignment="1" applyProtection="1">
      <alignment horizontal="center"/>
      <protection hidden="1"/>
    </xf>
    <xf numFmtId="0" fontId="1" fillId="26" borderId="11" xfId="0" applyFont="1" applyFill="1" applyBorder="1" applyAlignment="1" applyProtection="1">
      <alignment horizontal="center"/>
      <protection hidden="1"/>
    </xf>
    <xf numFmtId="0" fontId="1" fillId="12" borderId="9" xfId="0" applyFont="1" applyFill="1" applyBorder="1" applyAlignment="1" applyProtection="1">
      <alignment horizontal="center"/>
      <protection hidden="1"/>
    </xf>
    <xf numFmtId="0" fontId="1" fillId="12" borderId="0" xfId="0" applyFont="1" applyFill="1" applyBorder="1" applyAlignment="1" applyProtection="1">
      <alignment horizontal="center"/>
      <protection hidden="1"/>
    </xf>
    <xf numFmtId="0" fontId="1" fillId="12" borderId="11" xfId="0" applyFont="1" applyFill="1" applyBorder="1" applyAlignment="1" applyProtection="1">
      <alignment horizontal="center"/>
      <protection hidden="1"/>
    </xf>
    <xf numFmtId="0" fontId="5" fillId="12" borderId="13" xfId="0" applyFont="1" applyFill="1" applyBorder="1" applyAlignment="1" applyProtection="1">
      <alignment horizontal="center" vertical="center"/>
      <protection hidden="1"/>
    </xf>
    <xf numFmtId="0" fontId="5" fillId="12" borderId="11" xfId="0" applyFont="1" applyFill="1" applyBorder="1" applyAlignment="1" applyProtection="1">
      <alignment horizontal="center" vertical="center"/>
      <protection hidden="1"/>
    </xf>
    <xf numFmtId="0" fontId="5" fillId="12" borderId="7" xfId="0" applyFont="1" applyFill="1" applyBorder="1" applyAlignment="1" applyProtection="1">
      <alignment horizontal="center" vertical="center"/>
      <protection hidden="1"/>
    </xf>
    <xf numFmtId="0" fontId="3" fillId="24" borderId="13" xfId="0" applyFont="1" applyFill="1" applyBorder="1" applyAlignment="1" applyProtection="1">
      <alignment horizontal="center" vertical="center" shrinkToFit="1"/>
      <protection hidden="1"/>
    </xf>
    <xf numFmtId="0" fontId="3" fillId="24" borderId="11" xfId="0" applyFont="1" applyFill="1" applyBorder="1" applyAlignment="1" applyProtection="1">
      <alignment horizontal="center" vertical="center" shrinkToFit="1"/>
      <protection hidden="1"/>
    </xf>
    <xf numFmtId="0" fontId="3" fillId="24" borderId="7" xfId="0" applyFont="1" applyFill="1" applyBorder="1" applyAlignment="1" applyProtection="1">
      <alignment horizontal="center" vertical="center" shrinkToFit="1"/>
      <protection hidden="1"/>
    </xf>
    <xf numFmtId="0" fontId="3" fillId="12" borderId="0" xfId="0" applyFont="1" applyFill="1" applyBorder="1" applyAlignment="1" applyProtection="1">
      <alignment horizontal="center" vertical="center"/>
      <protection hidden="1"/>
    </xf>
    <xf numFmtId="0" fontId="3" fillId="12" borderId="6" xfId="0" applyFont="1" applyFill="1" applyBorder="1" applyAlignment="1" applyProtection="1">
      <alignment horizontal="center" vertical="center"/>
      <protection hidden="1"/>
    </xf>
    <xf numFmtId="0" fontId="3" fillId="12" borderId="38" xfId="0" applyFont="1" applyFill="1" applyBorder="1" applyAlignment="1" applyProtection="1">
      <alignment horizontal="center" vertical="center" shrinkToFit="1"/>
      <protection hidden="1"/>
    </xf>
    <xf numFmtId="0" fontId="3" fillId="23" borderId="5" xfId="0" applyFont="1" applyFill="1" applyBorder="1" applyAlignment="1" applyProtection="1">
      <alignment horizontal="center" vertical="center"/>
      <protection hidden="1"/>
    </xf>
    <xf numFmtId="0" fontId="3" fillId="23" borderId="0" xfId="0" applyFont="1" applyFill="1" applyBorder="1" applyAlignment="1" applyProtection="1">
      <alignment horizontal="center" vertical="center"/>
      <protection hidden="1"/>
    </xf>
    <xf numFmtId="0" fontId="3" fillId="23" borderId="6" xfId="0" applyFont="1" applyFill="1" applyBorder="1" applyAlignment="1" applyProtection="1">
      <alignment horizontal="center" vertical="center"/>
      <protection hidden="1"/>
    </xf>
    <xf numFmtId="0" fontId="4" fillId="23" borderId="47" xfId="0" applyFont="1" applyFill="1" applyBorder="1" applyAlignment="1" applyProtection="1">
      <alignment horizontal="center"/>
      <protection hidden="1"/>
    </xf>
    <xf numFmtId="0" fontId="4" fillId="23" borderId="46" xfId="0" applyFont="1" applyFill="1" applyBorder="1" applyAlignment="1" applyProtection="1">
      <alignment horizontal="center"/>
      <protection hidden="1"/>
    </xf>
    <xf numFmtId="0" fontId="4" fillId="23" borderId="48" xfId="0" applyFont="1" applyFill="1" applyBorder="1" applyAlignment="1" applyProtection="1">
      <alignment horizontal="center"/>
      <protection hidden="1"/>
    </xf>
    <xf numFmtId="0" fontId="5" fillId="3" borderId="0" xfId="0" applyFont="1" applyFill="1" applyAlignment="1">
      <alignment horizontal="center"/>
    </xf>
    <xf numFmtId="0" fontId="52" fillId="3" borderId="6" xfId="0" applyFont="1" applyFill="1" applyBorder="1" applyAlignment="1">
      <alignment horizontal="right"/>
    </xf>
    <xf numFmtId="0" fontId="5" fillId="3" borderId="6" xfId="0" applyFont="1" applyFill="1" applyBorder="1" applyAlignment="1">
      <alignment horizontal="center"/>
    </xf>
    <xf numFmtId="0" fontId="50" fillId="3" borderId="0" xfId="0" applyFont="1" applyFill="1" applyAlignment="1">
      <alignment horizontal="right"/>
    </xf>
    <xf numFmtId="0" fontId="5" fillId="26" borderId="13" xfId="0" applyFont="1" applyFill="1" applyBorder="1" applyAlignment="1" applyProtection="1">
      <alignment horizontal="center" vertical="center"/>
      <protection hidden="1"/>
    </xf>
    <xf numFmtId="0" fontId="5" fillId="26" borderId="11" xfId="0" applyFont="1" applyFill="1" applyBorder="1" applyAlignment="1" applyProtection="1">
      <alignment horizontal="center" vertical="center"/>
      <protection hidden="1"/>
    </xf>
    <xf numFmtId="0" fontId="5" fillId="26" borderId="7" xfId="0" applyFont="1" applyFill="1" applyBorder="1" applyAlignment="1" applyProtection="1">
      <alignment horizontal="center" vertical="center"/>
      <protection hidden="1"/>
    </xf>
    <xf numFmtId="0" fontId="3" fillId="23" borderId="11" xfId="0" applyFont="1" applyFill="1" applyBorder="1" applyAlignment="1" applyProtection="1">
      <alignment horizontal="center" vertical="center" shrinkToFit="1"/>
      <protection hidden="1"/>
    </xf>
    <xf numFmtId="0" fontId="3" fillId="23" borderId="7" xfId="0" applyFont="1" applyFill="1" applyBorder="1" applyAlignment="1" applyProtection="1">
      <alignment horizontal="center" vertical="center" shrinkToFit="1"/>
      <protection hidden="1"/>
    </xf>
    <xf numFmtId="0" fontId="3" fillId="24" borderId="11" xfId="0" applyFont="1" applyFill="1" applyBorder="1" applyAlignment="1" applyProtection="1">
      <alignment horizontal="center" shrinkToFit="1"/>
      <protection hidden="1"/>
    </xf>
    <xf numFmtId="0" fontId="3" fillId="24" borderId="7" xfId="0" applyFont="1" applyFill="1" applyBorder="1" applyAlignment="1" applyProtection="1">
      <alignment horizontal="center" shrinkToFit="1"/>
      <protection hidden="1"/>
    </xf>
    <xf numFmtId="0" fontId="4" fillId="23" borderId="12" xfId="0" applyFont="1" applyFill="1" applyBorder="1" applyAlignment="1" applyProtection="1">
      <alignment horizontal="center"/>
      <protection hidden="1"/>
    </xf>
    <xf numFmtId="0" fontId="4" fillId="23" borderId="5" xfId="0" applyFont="1" applyFill="1" applyBorder="1" applyAlignment="1" applyProtection="1">
      <alignment horizontal="center"/>
      <protection hidden="1"/>
    </xf>
    <xf numFmtId="0" fontId="4" fillId="23" borderId="13" xfId="0" applyFont="1" applyFill="1" applyBorder="1" applyAlignment="1" applyProtection="1">
      <alignment horizontal="center"/>
      <protection hidden="1"/>
    </xf>
    <xf numFmtId="0" fontId="4" fillId="23" borderId="9" xfId="0" applyFont="1" applyFill="1" applyBorder="1" applyAlignment="1" applyProtection="1">
      <alignment horizontal="center"/>
      <protection hidden="1"/>
    </xf>
    <xf numFmtId="0" fontId="4" fillId="23" borderId="0" xfId="0" applyFont="1" applyFill="1" applyBorder="1" applyAlignment="1" applyProtection="1">
      <alignment horizontal="center"/>
      <protection hidden="1"/>
    </xf>
    <xf numFmtId="0" fontId="4" fillId="23" borderId="11" xfId="0" applyFont="1" applyFill="1" applyBorder="1" applyAlignment="1" applyProtection="1">
      <alignment horizontal="center"/>
      <protection hidden="1"/>
    </xf>
    <xf numFmtId="0" fontId="4" fillId="23" borderId="10" xfId="0" applyFont="1" applyFill="1" applyBorder="1" applyAlignment="1" applyProtection="1">
      <alignment horizontal="center"/>
      <protection hidden="1"/>
    </xf>
    <xf numFmtId="0" fontId="4" fillId="23" borderId="6" xfId="0" applyFont="1" applyFill="1" applyBorder="1" applyAlignment="1" applyProtection="1">
      <alignment horizontal="center"/>
      <protection hidden="1"/>
    </xf>
    <xf numFmtId="0" fontId="4" fillId="23" borderId="7" xfId="0" applyFont="1" applyFill="1" applyBorder="1" applyAlignment="1" applyProtection="1">
      <alignment horizontal="center"/>
      <protection hidden="1"/>
    </xf>
    <xf numFmtId="0" fontId="53" fillId="3" borderId="0" xfId="0" applyFont="1" applyFill="1" applyBorder="1" applyAlignment="1">
      <alignment horizontal="center" vertical="top"/>
    </xf>
    <xf numFmtId="0" fontId="53" fillId="3" borderId="6" xfId="0" applyFont="1" applyFill="1" applyBorder="1" applyAlignment="1">
      <alignment horizontal="center" vertical="top"/>
    </xf>
    <xf numFmtId="0" fontId="5" fillId="26" borderId="0" xfId="0" applyFont="1" applyFill="1" applyBorder="1" applyAlignment="1" applyProtection="1">
      <alignment horizontal="center" vertical="center"/>
      <protection hidden="1"/>
    </xf>
    <xf numFmtId="0" fontId="5" fillId="26" borderId="6" xfId="0" applyFont="1" applyFill="1" applyBorder="1" applyAlignment="1" applyProtection="1">
      <alignment horizontal="center" vertical="center"/>
      <protection hidden="1"/>
    </xf>
    <xf numFmtId="0" fontId="3" fillId="24" borderId="0" xfId="0" applyFont="1" applyFill="1" applyBorder="1" applyAlignment="1" applyProtection="1">
      <alignment horizontal="center" vertical="center"/>
      <protection hidden="1"/>
    </xf>
    <xf numFmtId="0" fontId="3" fillId="24" borderId="6" xfId="0" applyFont="1" applyFill="1" applyBorder="1" applyAlignment="1" applyProtection="1">
      <alignment horizontal="center" vertical="center"/>
      <protection hidden="1"/>
    </xf>
    <xf numFmtId="0" fontId="3" fillId="23" borderId="38" xfId="0" applyFont="1" applyFill="1" applyBorder="1" applyAlignment="1" applyProtection="1">
      <alignment horizontal="center" vertical="center" shrinkToFit="1"/>
      <protection hidden="1"/>
    </xf>
    <xf numFmtId="0" fontId="3" fillId="23" borderId="47" xfId="0" applyFont="1" applyFill="1" applyBorder="1" applyAlignment="1" applyProtection="1">
      <alignment horizontal="center" vertical="center" shrinkToFit="1"/>
      <protection hidden="1"/>
    </xf>
    <xf numFmtId="0" fontId="3" fillId="23" borderId="46" xfId="0" applyFont="1" applyFill="1" applyBorder="1" applyAlignment="1" applyProtection="1">
      <alignment horizontal="center" vertical="center" shrinkToFit="1"/>
      <protection hidden="1"/>
    </xf>
    <xf numFmtId="0" fontId="3" fillId="23" borderId="48" xfId="0" applyFont="1" applyFill="1" applyBorder="1" applyAlignment="1" applyProtection="1">
      <alignment horizontal="center" vertical="center" shrinkToFit="1"/>
      <protection hidden="1"/>
    </xf>
    <xf numFmtId="0" fontId="5" fillId="23" borderId="0" xfId="0" applyFont="1" applyFill="1" applyBorder="1" applyAlignment="1" applyProtection="1">
      <alignment horizontal="center" vertical="center"/>
      <protection hidden="1"/>
    </xf>
    <xf numFmtId="0" fontId="5" fillId="23" borderId="6" xfId="0" applyFont="1" applyFill="1" applyBorder="1" applyAlignment="1" applyProtection="1">
      <alignment horizontal="center" vertical="center"/>
      <protection hidden="1"/>
    </xf>
    <xf numFmtId="0" fontId="5" fillId="24" borderId="0" xfId="0" applyFont="1" applyFill="1" applyBorder="1" applyAlignment="1" applyProtection="1">
      <alignment horizontal="center" vertical="center"/>
      <protection hidden="1"/>
    </xf>
    <xf numFmtId="0" fontId="5" fillId="24" borderId="6" xfId="0" applyFont="1" applyFill="1" applyBorder="1" applyAlignment="1" applyProtection="1">
      <alignment horizontal="center" vertical="center"/>
      <protection hidden="1"/>
    </xf>
    <xf numFmtId="0" fontId="5" fillId="25" borderId="0" xfId="0" applyFont="1" applyFill="1" applyBorder="1" applyAlignment="1" applyProtection="1">
      <alignment horizontal="center" vertical="center"/>
      <protection hidden="1"/>
    </xf>
    <xf numFmtId="0" fontId="5" fillId="25" borderId="6" xfId="0" applyFont="1" applyFill="1" applyBorder="1" applyAlignment="1" applyProtection="1">
      <alignment horizontal="center" vertical="center"/>
      <protection hidden="1"/>
    </xf>
    <xf numFmtId="0" fontId="3" fillId="25" borderId="46" xfId="0" applyFont="1" applyFill="1" applyBorder="1" applyAlignment="1" applyProtection="1">
      <alignment horizontal="center" vertical="center" shrinkToFit="1"/>
      <protection hidden="1"/>
    </xf>
    <xf numFmtId="0" fontId="3" fillId="25" borderId="48" xfId="0" applyFont="1" applyFill="1" applyBorder="1" applyAlignment="1" applyProtection="1">
      <alignment horizontal="center" vertical="center" shrinkToFit="1"/>
      <protection hidden="1"/>
    </xf>
    <xf numFmtId="0" fontId="3" fillId="24" borderId="38" xfId="0" applyFont="1" applyFill="1" applyBorder="1" applyAlignment="1" applyProtection="1">
      <alignment horizontal="center" vertical="center" shrinkToFit="1"/>
      <protection hidden="1"/>
    </xf>
    <xf numFmtId="0" fontId="3" fillId="24" borderId="46" xfId="0" applyFont="1" applyFill="1" applyBorder="1" applyAlignment="1" applyProtection="1">
      <alignment horizontal="center" vertical="center" shrinkToFit="1"/>
      <protection hidden="1"/>
    </xf>
    <xf numFmtId="0" fontId="3" fillId="24" borderId="48" xfId="0" applyFont="1" applyFill="1" applyBorder="1" applyAlignment="1" applyProtection="1">
      <alignment horizontal="center" vertical="center" shrinkToFit="1"/>
      <protection hidden="1"/>
    </xf>
    <xf numFmtId="0" fontId="3" fillId="25" borderId="0" xfId="0" applyFont="1" applyFill="1" applyBorder="1" applyAlignment="1" applyProtection="1">
      <alignment horizontal="center" vertical="center"/>
      <protection hidden="1"/>
    </xf>
    <xf numFmtId="0" fontId="3" fillId="25" borderId="6" xfId="0" applyFont="1" applyFill="1" applyBorder="1" applyAlignment="1" applyProtection="1">
      <alignment horizontal="center" vertical="center"/>
      <protection hidden="1"/>
    </xf>
    <xf numFmtId="0" fontId="3" fillId="25" borderId="38" xfId="0" applyFont="1" applyFill="1" applyBorder="1" applyAlignment="1" applyProtection="1">
      <alignment horizontal="center" vertical="center" shrinkToFit="1"/>
      <protection hidden="1"/>
    </xf>
    <xf numFmtId="0" fontId="3" fillId="3" borderId="0" xfId="0" applyFont="1" applyFill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1" fillId="3" borderId="33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26" fillId="3" borderId="4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0" fontId="4" fillId="3" borderId="0" xfId="0" applyFont="1" applyFill="1" applyAlignment="1">
      <alignment horizontal="right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 vertical="center"/>
    </xf>
    <xf numFmtId="0" fontId="33" fillId="3" borderId="6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right" vertical="center"/>
    </xf>
    <xf numFmtId="0" fontId="4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31" fillId="3" borderId="35" xfId="0" applyFont="1" applyFill="1" applyBorder="1" applyAlignment="1">
      <alignment horizontal="center" vertical="center"/>
    </xf>
    <xf numFmtId="0" fontId="7" fillId="2" borderId="0" xfId="0" applyFont="1" applyFill="1" applyBorder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12" fillId="3" borderId="0" xfId="0" applyFont="1" applyFill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right"/>
      <protection hidden="1"/>
    </xf>
    <xf numFmtId="0" fontId="5" fillId="3" borderId="12" xfId="0" applyFont="1" applyFill="1" applyBorder="1" applyAlignment="1" applyProtection="1">
      <alignment horizontal="center" vertical="center" shrinkToFit="1"/>
      <protection hidden="1"/>
    </xf>
    <xf numFmtId="0" fontId="5" fillId="3" borderId="5" xfId="0" applyFont="1" applyFill="1" applyBorder="1" applyAlignment="1" applyProtection="1">
      <alignment horizontal="center" vertical="center" shrinkToFit="1"/>
      <protection hidden="1"/>
    </xf>
    <xf numFmtId="0" fontId="5" fillId="3" borderId="13" xfId="0" applyFont="1" applyFill="1" applyBorder="1" applyAlignment="1" applyProtection="1">
      <alignment horizontal="center" vertical="center" shrinkToFit="1"/>
      <protection hidden="1"/>
    </xf>
    <xf numFmtId="0" fontId="5" fillId="3" borderId="10" xfId="0" applyFont="1" applyFill="1" applyBorder="1" applyAlignment="1" applyProtection="1">
      <alignment horizontal="center" vertical="center" shrinkToFit="1"/>
      <protection hidden="1"/>
    </xf>
    <xf numFmtId="0" fontId="5" fillId="3" borderId="6" xfId="0" applyFont="1" applyFill="1" applyBorder="1" applyAlignment="1" applyProtection="1">
      <alignment horizontal="center" vertical="center" shrinkToFit="1"/>
      <protection hidden="1"/>
    </xf>
    <xf numFmtId="0" fontId="5" fillId="3" borderId="7" xfId="0" applyFont="1" applyFill="1" applyBorder="1" applyAlignment="1" applyProtection="1">
      <alignment horizontal="center" vertical="center" shrinkToFit="1"/>
      <protection hidden="1"/>
    </xf>
    <xf numFmtId="0" fontId="14" fillId="4" borderId="0" xfId="0" applyFont="1" applyFill="1" applyBorder="1" applyAlignment="1" applyProtection="1">
      <alignment horizontal="center"/>
      <protection hidden="1"/>
    </xf>
    <xf numFmtId="0" fontId="14" fillId="4" borderId="11" xfId="0" applyFont="1" applyFill="1" applyBorder="1" applyAlignment="1" applyProtection="1">
      <alignment horizontal="center"/>
      <protection hidden="1"/>
    </xf>
    <xf numFmtId="0" fontId="5" fillId="4" borderId="9" xfId="0" applyFont="1" applyFill="1" applyBorder="1" applyAlignment="1" applyProtection="1">
      <alignment horizontal="center" vertical="center"/>
      <protection hidden="1"/>
    </xf>
    <xf numFmtId="0" fontId="5" fillId="4" borderId="0" xfId="0" applyFont="1" applyFill="1" applyBorder="1" applyAlignment="1" applyProtection="1">
      <alignment horizontal="center" vertical="center"/>
      <protection hidden="1"/>
    </xf>
    <xf numFmtId="0" fontId="5" fillId="4" borderId="9" xfId="0" applyFont="1" applyFill="1" applyBorder="1" applyAlignment="1" applyProtection="1">
      <alignment horizontal="center"/>
      <protection hidden="1"/>
    </xf>
    <xf numFmtId="0" fontId="5" fillId="4" borderId="0" xfId="0" applyFont="1" applyFill="1" applyBorder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colors>
    <mruColors>
      <color rgb="FF3DF61E"/>
      <color rgb="FFFF0066"/>
      <color rgb="FFDE5C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ysClr val="windowText" lastClr="00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ysClr val="windowText" lastClr="000000"/>
                </a:solidFill>
              </a:rPr>
              <a:t>KCAL/ MIN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ysClr val="windowText" lastClr="00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5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4487517222157628E-2"/>
          <c:y val="0.19438819733200893"/>
          <c:w val="0.9310249655556847"/>
          <c:h val="0.71275174001399522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'-'!$X$23:$X$28</c:f>
              <c:strCache>
                <c:ptCount val="6"/>
                <c:pt idx="0">
                  <c:v>a6</c:v>
                </c:pt>
                <c:pt idx="1">
                  <c:v>a5</c:v>
                </c:pt>
                <c:pt idx="2">
                  <c:v>a4</c:v>
                </c:pt>
                <c:pt idx="3">
                  <c:v>a3</c:v>
                </c:pt>
                <c:pt idx="4">
                  <c:v>a2</c:v>
                </c:pt>
                <c:pt idx="5">
                  <c:v>a1</c:v>
                </c:pt>
              </c:strCache>
            </c:strRef>
          </c:cat>
          <c:val>
            <c:numRef>
              <c:f>'-'!$Y$23:$Y$28</c:f>
              <c:numCache>
                <c:formatCode>0</c:formatCode>
                <c:ptCount val="6"/>
                <c:pt idx="0">
                  <c:v>0</c:v>
                </c:pt>
                <c:pt idx="1">
                  <c:v>25.2</c:v>
                </c:pt>
                <c:pt idx="2">
                  <c:v>22.68</c:v>
                </c:pt>
                <c:pt idx="3">
                  <c:v>20.915999999999993</c:v>
                </c:pt>
                <c:pt idx="4">
                  <c:v>17.639999999999997</c:v>
                </c:pt>
                <c:pt idx="5">
                  <c:v>14.112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67331552"/>
        <c:axId val="267332336"/>
        <c:axId val="0"/>
      </c:bar3DChart>
      <c:catAx>
        <c:axId val="267331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solidFill>
            <a:schemeClr val="accent6">
              <a:lumMod val="40000"/>
              <a:lumOff val="60000"/>
            </a:schemeClr>
          </a:solidFill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267332336"/>
        <c:crosses val="autoZero"/>
        <c:auto val="1"/>
        <c:lblAlgn val="ctr"/>
        <c:lblOffset val="100"/>
        <c:noMultiLvlLbl val="0"/>
      </c:catAx>
      <c:valAx>
        <c:axId val="26733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26733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3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C">
                <a:solidFill>
                  <a:sysClr val="windowText" lastClr="000000"/>
                </a:solidFill>
              </a:rPr>
              <a:t>MILIMOLES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50000"/>
          </a:schemeClr>
        </a:solidFill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6094587495269594E-2"/>
          <c:y val="0.19438819733200893"/>
          <c:w val="0.93891685193108232"/>
          <c:h val="0.655191526431767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'-'!$X$15:$X$20</c:f>
              <c:strCache>
                <c:ptCount val="6"/>
                <c:pt idx="0">
                  <c:v>a6</c:v>
                </c:pt>
                <c:pt idx="1">
                  <c:v>a5</c:v>
                </c:pt>
                <c:pt idx="2">
                  <c:v>a4</c:v>
                </c:pt>
                <c:pt idx="3">
                  <c:v>a3</c:v>
                </c:pt>
                <c:pt idx="4">
                  <c:v>a2</c:v>
                </c:pt>
                <c:pt idx="5">
                  <c:v>a1</c:v>
                </c:pt>
              </c:strCache>
            </c:strRef>
          </c:cat>
          <c:val>
            <c:numRef>
              <c:f>'-'!$Y$15:$Y$20</c:f>
              <c:numCache>
                <c:formatCode>General</c:formatCode>
                <c:ptCount val="6"/>
                <c:pt idx="0">
                  <c:v>0</c:v>
                </c:pt>
                <c:pt idx="1">
                  <c:v>14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68313800"/>
        <c:axId val="268307528"/>
        <c:axId val="0"/>
      </c:bar3DChart>
      <c:catAx>
        <c:axId val="268313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solidFill>
            <a:schemeClr val="accent6">
              <a:lumMod val="20000"/>
              <a:lumOff val="80000"/>
            </a:schemeClr>
          </a:solidFill>
        </c:spPr>
        <c:txPr>
          <a:bodyPr/>
          <a:lstStyle/>
          <a:p>
            <a:pPr>
              <a:defRPr sz="1600" b="1">
                <a:solidFill>
                  <a:sysClr val="windowText" lastClr="000000"/>
                </a:solidFill>
              </a:defRPr>
            </a:pPr>
            <a:endParaRPr lang="es-EC"/>
          </a:p>
        </c:txPr>
        <c:crossAx val="268307528"/>
        <c:crosses val="autoZero"/>
        <c:auto val="1"/>
        <c:lblAlgn val="ctr"/>
        <c:lblOffset val="100"/>
        <c:noMultiLvlLbl val="0"/>
      </c:catAx>
      <c:valAx>
        <c:axId val="268307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8313800"/>
        <c:crosses val="autoZero"/>
        <c:crossBetween val="between"/>
      </c:valAx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C">
                <a:solidFill>
                  <a:sysClr val="windowText" lastClr="000000"/>
                </a:solidFill>
              </a:rPr>
              <a:t>TIEMPO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75000"/>
          </a:schemeClr>
        </a:solidFill>
      </c:spPr>
    </c:floor>
    <c:sideWall>
      <c:thickness val="0"/>
      <c:spPr>
        <a:ln>
          <a:noFill/>
        </a:ln>
      </c:spPr>
    </c:sideWall>
    <c:backWall>
      <c:thickness val="0"/>
      <c:spPr>
        <a:ln>
          <a:noFill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 i="1">
                    <a:solidFill>
                      <a:sysClr val="windowText" lastClr="000000"/>
                    </a:solidFill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'-'!$X$8:$X$13</c:f>
              <c:strCache>
                <c:ptCount val="6"/>
                <c:pt idx="0">
                  <c:v>a6</c:v>
                </c:pt>
                <c:pt idx="1">
                  <c:v>a5</c:v>
                </c:pt>
                <c:pt idx="2">
                  <c:v>a4</c:v>
                </c:pt>
                <c:pt idx="3">
                  <c:v>a3</c:v>
                </c:pt>
                <c:pt idx="4">
                  <c:v>a2</c:v>
                </c:pt>
                <c:pt idx="5">
                  <c:v>a1</c:v>
                </c:pt>
              </c:strCache>
            </c:strRef>
          </c:cat>
          <c:val>
            <c:numRef>
              <c:f>'-'!$Y$8:$Y$13</c:f>
              <c:numCache>
                <c:formatCode>General</c:formatCode>
                <c:ptCount val="6"/>
                <c:pt idx="0">
                  <c:v>18</c:v>
                </c:pt>
                <c:pt idx="1">
                  <c:v>25</c:v>
                </c:pt>
                <c:pt idx="2">
                  <c:v>25</c:v>
                </c:pt>
                <c:pt idx="3">
                  <c:v>20</c:v>
                </c:pt>
                <c:pt idx="4">
                  <c:v>90</c:v>
                </c:pt>
                <c:pt idx="5">
                  <c:v>30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68314192"/>
        <c:axId val="268310272"/>
        <c:axId val="0"/>
      </c:bar3DChart>
      <c:catAx>
        <c:axId val="268314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solidFill>
            <a:schemeClr val="accent6">
              <a:lumMod val="20000"/>
              <a:lumOff val="80000"/>
            </a:schemeClr>
          </a:solidFill>
        </c:spPr>
        <c:txPr>
          <a:bodyPr/>
          <a:lstStyle/>
          <a:p>
            <a:pPr>
              <a:defRPr sz="1600" b="1">
                <a:solidFill>
                  <a:sysClr val="windowText" lastClr="000000"/>
                </a:solidFill>
              </a:defRPr>
            </a:pPr>
            <a:endParaRPr lang="es-EC"/>
          </a:p>
        </c:txPr>
        <c:crossAx val="268310272"/>
        <c:crosses val="autoZero"/>
        <c:auto val="1"/>
        <c:lblAlgn val="ctr"/>
        <c:lblOffset val="100"/>
        <c:noMultiLvlLbl val="0"/>
      </c:catAx>
      <c:valAx>
        <c:axId val="26831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8314192"/>
        <c:crosses val="autoZero"/>
        <c:crossBetween val="between"/>
      </c:valAx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/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dk1">
            <a:lumMod val="60000"/>
            <a:lumOff val="4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/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!A1"/><Relationship Id="rId3" Type="http://schemas.openxmlformats.org/officeDocument/2006/relationships/hyperlink" Target="#'='!A1"/><Relationship Id="rId7" Type="http://schemas.openxmlformats.org/officeDocument/2006/relationships/hyperlink" Target="#'-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R1'!A1"/><Relationship Id="rId5" Type="http://schemas.openxmlformats.org/officeDocument/2006/relationships/hyperlink" Target="#'&quot;'!A1"/><Relationship Id="rId4" Type="http://schemas.openxmlformats.org/officeDocument/2006/relationships/hyperlink" Target="#'R2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.'!A1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hyperlink" Target="#'.'!A1"/><Relationship Id="rId6" Type="http://schemas.openxmlformats.org/officeDocument/2006/relationships/image" Target="../media/image7.png"/><Relationship Id="rId5" Type="http://schemas.microsoft.com/office/2007/relationships/hdphoto" Target="../media/hdphoto2.wdp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chart" Target="../charts/chart2.xml"/><Relationship Id="rId7" Type="http://schemas.openxmlformats.org/officeDocument/2006/relationships/image" Target="../media/image12.gif"/><Relationship Id="rId2" Type="http://schemas.openxmlformats.org/officeDocument/2006/relationships/chart" Target="../charts/chart1.xml"/><Relationship Id="rId1" Type="http://schemas.openxmlformats.org/officeDocument/2006/relationships/hyperlink" Target="#'.'!A1"/><Relationship Id="rId6" Type="http://schemas.openxmlformats.org/officeDocument/2006/relationships/image" Target="../media/image11.gif"/><Relationship Id="rId5" Type="http://schemas.openxmlformats.org/officeDocument/2006/relationships/image" Target="../media/image10.gif"/><Relationship Id="rId10" Type="http://schemas.openxmlformats.org/officeDocument/2006/relationships/image" Target="../media/image15.png"/><Relationship Id="rId4" Type="http://schemas.openxmlformats.org/officeDocument/2006/relationships/chart" Target="../charts/chart3.xml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jpeg"/><Relationship Id="rId1" Type="http://schemas.openxmlformats.org/officeDocument/2006/relationships/hyperlink" Target="#'.'!A1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'R1'!A1"/><Relationship Id="rId1" Type="http://schemas.openxmlformats.org/officeDocument/2006/relationships/hyperlink" Target="#'.'!A1"/><Relationship Id="rId4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hyperlink" Target="#'.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557224</xdr:colOff>
      <xdr:row>22</xdr:row>
      <xdr:rowOff>64926</xdr:rowOff>
    </xdr:from>
    <xdr:to>
      <xdr:col>15</xdr:col>
      <xdr:colOff>485968</xdr:colOff>
      <xdr:row>44</xdr:row>
      <xdr:rowOff>25550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8755" y="3427834"/>
          <a:ext cx="3272213" cy="3284655"/>
        </a:xfrm>
        <a:prstGeom prst="rect">
          <a:avLst/>
        </a:prstGeom>
      </xdr:spPr>
    </xdr:pic>
    <xdr:clientData/>
  </xdr:twoCellAnchor>
  <xdr:twoCellAnchor editAs="oneCell">
    <xdr:from>
      <xdr:col>12</xdr:col>
      <xdr:colOff>16051</xdr:colOff>
      <xdr:row>0</xdr:row>
      <xdr:rowOff>0</xdr:rowOff>
    </xdr:from>
    <xdr:to>
      <xdr:col>15</xdr:col>
      <xdr:colOff>349898</xdr:colOff>
      <xdr:row>16</xdr:row>
      <xdr:rowOff>42463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6714" y="0"/>
          <a:ext cx="2608184" cy="2618101"/>
        </a:xfrm>
        <a:prstGeom prst="rect">
          <a:avLst/>
        </a:prstGeom>
      </xdr:spPr>
    </xdr:pic>
    <xdr:clientData/>
  </xdr:twoCellAnchor>
  <xdr:oneCellAnchor>
    <xdr:from>
      <xdr:col>1</xdr:col>
      <xdr:colOff>204107</xdr:colOff>
      <xdr:row>0</xdr:row>
      <xdr:rowOff>123825</xdr:rowOff>
    </xdr:from>
    <xdr:ext cx="9369490" cy="1207731"/>
    <xdr:sp macro="" textlink="">
      <xdr:nvSpPr>
        <xdr:cNvPr id="2" name="1 Rectángulo"/>
        <xdr:cNvSpPr/>
      </xdr:nvSpPr>
      <xdr:spPr>
        <a:xfrm>
          <a:off x="962219" y="123825"/>
          <a:ext cx="9369490" cy="1207731"/>
        </a:xfrm>
        <a:prstGeom prst="rect">
          <a:avLst/>
        </a:prstGeom>
        <a:noFill/>
      </xdr:spPr>
      <xdr:txBody>
        <a:bodyPr wrap="square" lIns="91440" tIns="45720" rIns="91440" bIns="45720">
          <a:prstTxWarp prst="textDeflateBottom">
            <a:avLst/>
          </a:prstTxWarp>
          <a:spAutoFit/>
        </a:bodyPr>
        <a:lstStyle/>
        <a:p>
          <a:pPr algn="ctr"/>
          <a:r>
            <a:rPr lang="es-ES" sz="80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glow rad="63500">
                  <a:schemeClr val="accent5">
                    <a:satMod val="175000"/>
                    <a:alpha val="40000"/>
                  </a:schemeClr>
                </a:glow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  <a:reflection blurRad="6350" stA="55000" endA="300" endPos="45500" dir="5400000" sy="-100000" algn="bl" rotWithShape="0"/>
              </a:effectLst>
              <a:latin typeface="Amienne" panose="04000508060000020003" pitchFamily="82" charset="0"/>
            </a:rPr>
            <a:t>TEST</a:t>
          </a:r>
          <a:r>
            <a:rPr lang="es-ES" sz="80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glow rad="63500">
                  <a:schemeClr val="accent5">
                    <a:satMod val="175000"/>
                    <a:alpha val="40000"/>
                  </a:schemeClr>
                </a:glow>
                <a:outerShdw blurRad="60007" dist="310007" dir="7680000" sy="30000" kx="1300200" algn="ctr" rotWithShape="0">
                  <a:prstClr val="black">
                    <a:alpha val="32000"/>
                  </a:prstClr>
                </a:outerShdw>
                <a:reflection blurRad="6350" stA="55000" endA="300" endPos="45500" dir="5400000" sy="-100000" algn="bl" rotWithShape="0"/>
              </a:effectLst>
              <a:latin typeface="Amienne" panose="04000508060000020003" pitchFamily="82" charset="0"/>
            </a:rPr>
            <a:t> DE 1000 MTS.</a:t>
          </a:r>
          <a:endParaRPr lang="es-ES" sz="80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5"/>
            </a:solidFill>
            <a:effectLst>
              <a:glow rad="63500">
                <a:schemeClr val="accent5">
                  <a:satMod val="175000"/>
                  <a:alpha val="40000"/>
                </a:schemeClr>
              </a:glow>
              <a:outerShdw blurRad="60007" dist="310007" dir="7680000" sy="30000" kx="1300200" algn="ctr" rotWithShape="0">
                <a:prstClr val="black">
                  <a:alpha val="32000"/>
                </a:prstClr>
              </a:outerShdw>
              <a:reflection blurRad="6350" stA="55000" endA="300" endPos="45500" dir="5400000" sy="-100000" algn="bl" rotWithShape="0"/>
            </a:effectLst>
            <a:latin typeface="Amienne" panose="04000508060000020003" pitchFamily="82" charset="0"/>
          </a:endParaRPr>
        </a:p>
      </xdr:txBody>
    </xdr:sp>
    <xdr:clientData/>
  </xdr:oneCellAnchor>
  <xdr:twoCellAnchor>
    <xdr:from>
      <xdr:col>7</xdr:col>
      <xdr:colOff>600074</xdr:colOff>
      <xdr:row>29</xdr:row>
      <xdr:rowOff>66675</xdr:rowOff>
    </xdr:from>
    <xdr:to>
      <xdr:col>9</xdr:col>
      <xdr:colOff>133349</xdr:colOff>
      <xdr:row>30</xdr:row>
      <xdr:rowOff>85726</xdr:rowOff>
    </xdr:to>
    <xdr:sp macro="" textlink="">
      <xdr:nvSpPr>
        <xdr:cNvPr id="4" name="3 Rectángulo redondeado"/>
        <xdr:cNvSpPr/>
      </xdr:nvSpPr>
      <xdr:spPr>
        <a:xfrm>
          <a:off x="4838699" y="4286250"/>
          <a:ext cx="561975" cy="180976"/>
        </a:xfrm>
        <a:prstGeom prst="roundRect">
          <a:avLst/>
        </a:prstGeom>
        <a:solidFill>
          <a:srgbClr val="FF0000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7</xdr:col>
      <xdr:colOff>609599</xdr:colOff>
      <xdr:row>30</xdr:row>
      <xdr:rowOff>142875</xdr:rowOff>
    </xdr:from>
    <xdr:to>
      <xdr:col>9</xdr:col>
      <xdr:colOff>142874</xdr:colOff>
      <xdr:row>31</xdr:row>
      <xdr:rowOff>161926</xdr:rowOff>
    </xdr:to>
    <xdr:sp macro="" textlink="">
      <xdr:nvSpPr>
        <xdr:cNvPr id="5" name="4 Rectángulo redondeado"/>
        <xdr:cNvSpPr/>
      </xdr:nvSpPr>
      <xdr:spPr>
        <a:xfrm>
          <a:off x="4848224" y="4524375"/>
          <a:ext cx="561975" cy="180976"/>
        </a:xfrm>
        <a:prstGeom prst="roundRect">
          <a:avLst/>
        </a:prstGeom>
        <a:solidFill>
          <a:schemeClr val="accent1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7</xdr:col>
      <xdr:colOff>619124</xdr:colOff>
      <xdr:row>32</xdr:row>
      <xdr:rowOff>95250</xdr:rowOff>
    </xdr:from>
    <xdr:to>
      <xdr:col>9</xdr:col>
      <xdr:colOff>152399</xdr:colOff>
      <xdr:row>33</xdr:row>
      <xdr:rowOff>133351</xdr:rowOff>
    </xdr:to>
    <xdr:sp macro="" textlink="">
      <xdr:nvSpPr>
        <xdr:cNvPr id="6" name="5 Rectángulo redondeado"/>
        <xdr:cNvSpPr/>
      </xdr:nvSpPr>
      <xdr:spPr>
        <a:xfrm>
          <a:off x="5314949" y="4810125"/>
          <a:ext cx="561975" cy="161926"/>
        </a:xfrm>
        <a:prstGeom prst="roundRect">
          <a:avLst/>
        </a:prstGeom>
        <a:solidFill>
          <a:schemeClr val="accent3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12</xdr:col>
      <xdr:colOff>110606</xdr:colOff>
      <xdr:row>14</xdr:row>
      <xdr:rowOff>86698</xdr:rowOff>
    </xdr:from>
    <xdr:to>
      <xdr:col>15</xdr:col>
      <xdr:colOff>379056</xdr:colOff>
      <xdr:row>16</xdr:row>
      <xdr:rowOff>38877</xdr:rowOff>
    </xdr:to>
    <xdr:sp macro="" textlink="">
      <xdr:nvSpPr>
        <xdr:cNvPr id="8" name="7 Proceso alternativo">
          <a:hlinkClick xmlns:r="http://schemas.openxmlformats.org/officeDocument/2006/relationships" r:id="rId3"/>
        </xdr:cNvPr>
        <xdr:cNvSpPr/>
      </xdr:nvSpPr>
      <xdr:spPr>
        <a:xfrm>
          <a:off x="7361269" y="2361035"/>
          <a:ext cx="2542787" cy="253480"/>
        </a:xfrm>
        <a:prstGeom prst="flowChartAlternateProcess">
          <a:avLst/>
        </a:prstGeom>
        <a:ln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1100" b="1">
              <a:solidFill>
                <a:sysClr val="windowText" lastClr="000000"/>
              </a:solidFill>
            </a:rPr>
            <a:t>VER </a:t>
          </a:r>
          <a:r>
            <a:rPr lang="es-EC" sz="1100" b="1" baseline="0">
              <a:solidFill>
                <a:sysClr val="windowText" lastClr="000000"/>
              </a:solidFill>
            </a:rPr>
            <a:t>FACTOR</a:t>
          </a:r>
          <a:r>
            <a:rPr lang="es-EC" sz="1100" b="1">
              <a:solidFill>
                <a:sysClr val="windowText" lastClr="000000"/>
              </a:solidFill>
            </a:rPr>
            <a:t>   DISTANCIA</a:t>
          </a:r>
        </a:p>
      </xdr:txBody>
    </xdr:sp>
    <xdr:clientData/>
  </xdr:twoCellAnchor>
  <xdr:twoCellAnchor>
    <xdr:from>
      <xdr:col>12</xdr:col>
      <xdr:colOff>168534</xdr:colOff>
      <xdr:row>24</xdr:row>
      <xdr:rowOff>29158</xdr:rowOff>
    </xdr:from>
    <xdr:to>
      <xdr:col>15</xdr:col>
      <xdr:colOff>388776</xdr:colOff>
      <xdr:row>25</xdr:row>
      <xdr:rowOff>87475</xdr:rowOff>
    </xdr:to>
    <xdr:sp macro="" textlink="">
      <xdr:nvSpPr>
        <xdr:cNvPr id="9" name="8 Proceso alternativo">
          <a:hlinkClick xmlns:r="http://schemas.openxmlformats.org/officeDocument/2006/relationships" r:id="rId4"/>
        </xdr:cNvPr>
        <xdr:cNvSpPr/>
      </xdr:nvSpPr>
      <xdr:spPr>
        <a:xfrm>
          <a:off x="7419197" y="3508699"/>
          <a:ext cx="2494579" cy="242985"/>
        </a:xfrm>
        <a:prstGeom prst="flowChartAlternateProcess">
          <a:avLst/>
        </a:prstGeom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1100" b="1">
              <a:solidFill>
                <a:sysClr val="windowText" lastClr="000000"/>
              </a:solidFill>
            </a:rPr>
            <a:t>DETERMINAR</a:t>
          </a:r>
          <a:r>
            <a:rPr lang="es-EC" sz="1100" b="1" baseline="0">
              <a:solidFill>
                <a:sysClr val="windowText" lastClr="000000"/>
              </a:solidFill>
            </a:rPr>
            <a:t> LA CAPACIDAD DE  V.O.2</a:t>
          </a:r>
        </a:p>
      </xdr:txBody>
    </xdr:sp>
    <xdr:clientData/>
  </xdr:twoCellAnchor>
  <xdr:twoCellAnchor>
    <xdr:from>
      <xdr:col>12</xdr:col>
      <xdr:colOff>110997</xdr:colOff>
      <xdr:row>11</xdr:row>
      <xdr:rowOff>123437</xdr:rowOff>
    </xdr:from>
    <xdr:to>
      <xdr:col>15</xdr:col>
      <xdr:colOff>379056</xdr:colOff>
      <xdr:row>13</xdr:row>
      <xdr:rowOff>9719</xdr:rowOff>
    </xdr:to>
    <xdr:sp macro="" textlink="">
      <xdr:nvSpPr>
        <xdr:cNvPr id="10" name="9 Proceso alternativo">
          <a:hlinkClick xmlns:r="http://schemas.openxmlformats.org/officeDocument/2006/relationships" r:id="rId5"/>
        </xdr:cNvPr>
        <xdr:cNvSpPr/>
      </xdr:nvSpPr>
      <xdr:spPr>
        <a:xfrm>
          <a:off x="7361660" y="1960401"/>
          <a:ext cx="2542396" cy="245900"/>
        </a:xfrm>
        <a:prstGeom prst="flowChartAlternateProcess">
          <a:avLst/>
        </a:prstGeom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900" b="1">
              <a:solidFill>
                <a:sysClr val="windowText" lastClr="000000"/>
              </a:solidFill>
            </a:rPr>
            <a:t>COMO</a:t>
          </a:r>
          <a:r>
            <a:rPr lang="es-EC" sz="900" b="1" baseline="0">
              <a:solidFill>
                <a:sysClr val="windowText" lastClr="000000"/>
              </a:solidFill>
            </a:rPr>
            <a:t> HACER LA DISTANCIA DE LA VUELTA</a:t>
          </a:r>
          <a:endParaRPr lang="es-EC" sz="9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149095</xdr:colOff>
      <xdr:row>26</xdr:row>
      <xdr:rowOff>77755</xdr:rowOff>
    </xdr:from>
    <xdr:to>
      <xdr:col>15</xdr:col>
      <xdr:colOff>379056</xdr:colOff>
      <xdr:row>28</xdr:row>
      <xdr:rowOff>19437</xdr:rowOff>
    </xdr:to>
    <xdr:sp macro="" textlink="">
      <xdr:nvSpPr>
        <xdr:cNvPr id="11" name="10 Proceso alternativo">
          <a:hlinkClick xmlns:r="http://schemas.openxmlformats.org/officeDocument/2006/relationships" r:id="rId6"/>
        </xdr:cNvPr>
        <xdr:cNvSpPr/>
      </xdr:nvSpPr>
      <xdr:spPr>
        <a:xfrm>
          <a:off x="7399758" y="3848877"/>
          <a:ext cx="2504298" cy="233264"/>
        </a:xfrm>
        <a:prstGeom prst="flowChartAlternateProcess">
          <a:avLst/>
        </a:prstGeom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1100" b="1">
              <a:solidFill>
                <a:sysClr val="windowText" lastClr="000000"/>
              </a:solidFill>
            </a:rPr>
            <a:t>RESULTADOS</a:t>
          </a:r>
          <a:r>
            <a:rPr lang="es-EC" sz="1100" b="1" baseline="0">
              <a:solidFill>
                <a:sysClr val="windowText" lastClr="000000"/>
              </a:solidFill>
            </a:rPr>
            <a:t> DE SU RESISTENCIA </a:t>
          </a:r>
          <a:endParaRPr lang="es-EC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139573</xdr:colOff>
      <xdr:row>16</xdr:row>
      <xdr:rowOff>174948</xdr:rowOff>
    </xdr:from>
    <xdr:to>
      <xdr:col>15</xdr:col>
      <xdr:colOff>379056</xdr:colOff>
      <xdr:row>18</xdr:row>
      <xdr:rowOff>145790</xdr:rowOff>
    </xdr:to>
    <xdr:sp macro="" textlink="">
      <xdr:nvSpPr>
        <xdr:cNvPr id="12" name="11 Proceso alternativo">
          <a:hlinkClick xmlns:r="http://schemas.openxmlformats.org/officeDocument/2006/relationships" r:id="rId7"/>
        </xdr:cNvPr>
        <xdr:cNvSpPr/>
      </xdr:nvSpPr>
      <xdr:spPr>
        <a:xfrm>
          <a:off x="7390236" y="2750586"/>
          <a:ext cx="2513820" cy="242985"/>
        </a:xfrm>
        <a:prstGeom prst="flowChartAlternateProcess">
          <a:avLst/>
        </a:prstGeom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1100" b="1">
              <a:solidFill>
                <a:sysClr val="windowText" lastClr="000000"/>
              </a:solidFill>
            </a:rPr>
            <a:t>GRAFICO</a:t>
          </a:r>
          <a:r>
            <a:rPr lang="es-EC" sz="1100" b="1" baseline="0">
              <a:solidFill>
                <a:sysClr val="windowText" lastClr="000000"/>
              </a:solidFill>
            </a:rPr>
            <a:t> DE LAS ZONAS</a:t>
          </a:r>
          <a:endParaRPr lang="es-EC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609599</xdr:colOff>
      <xdr:row>36</xdr:row>
      <xdr:rowOff>9525</xdr:rowOff>
    </xdr:from>
    <xdr:to>
      <xdr:col>9</xdr:col>
      <xdr:colOff>142874</xdr:colOff>
      <xdr:row>37</xdr:row>
      <xdr:rowOff>1</xdr:rowOff>
    </xdr:to>
    <xdr:sp macro="" textlink="">
      <xdr:nvSpPr>
        <xdr:cNvPr id="13" name="12 Rectángulo redondeado"/>
        <xdr:cNvSpPr/>
      </xdr:nvSpPr>
      <xdr:spPr>
        <a:xfrm>
          <a:off x="4848224" y="5086350"/>
          <a:ext cx="561975" cy="161926"/>
        </a:xfrm>
        <a:prstGeom prst="roundRect">
          <a:avLst/>
        </a:prstGeom>
        <a:solidFill>
          <a:schemeClr val="accent3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7</xdr:col>
      <xdr:colOff>134516</xdr:colOff>
      <xdr:row>16</xdr:row>
      <xdr:rowOff>9719</xdr:rowOff>
    </xdr:from>
    <xdr:to>
      <xdr:col>7</xdr:col>
      <xdr:colOff>698046</xdr:colOff>
      <xdr:row>17</xdr:row>
      <xdr:rowOff>9331</xdr:rowOff>
    </xdr:to>
    <xdr:sp macro="" textlink="">
      <xdr:nvSpPr>
        <xdr:cNvPr id="15" name="14 Rectángulo redondeado"/>
        <xdr:cNvSpPr/>
      </xdr:nvSpPr>
      <xdr:spPr>
        <a:xfrm>
          <a:off x="4449924" y="2585357"/>
          <a:ext cx="563530" cy="184280"/>
        </a:xfrm>
        <a:prstGeom prst="roundRect">
          <a:avLst/>
        </a:prstGeom>
        <a:solidFill>
          <a:srgbClr val="FF0000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12</xdr:col>
      <xdr:colOff>149095</xdr:colOff>
      <xdr:row>19</xdr:row>
      <xdr:rowOff>68035</xdr:rowOff>
    </xdr:from>
    <xdr:to>
      <xdr:col>15</xdr:col>
      <xdr:colOff>379056</xdr:colOff>
      <xdr:row>21</xdr:row>
      <xdr:rowOff>165226</xdr:rowOff>
    </xdr:to>
    <xdr:sp macro="" textlink="">
      <xdr:nvSpPr>
        <xdr:cNvPr id="17" name="16 Proceso alternativo">
          <a:hlinkClick xmlns:r="http://schemas.openxmlformats.org/officeDocument/2006/relationships" r:id="rId8"/>
        </xdr:cNvPr>
        <xdr:cNvSpPr/>
      </xdr:nvSpPr>
      <xdr:spPr>
        <a:xfrm>
          <a:off x="7399758" y="3110203"/>
          <a:ext cx="2504298" cy="233263"/>
        </a:xfrm>
        <a:prstGeom prst="flowChartAlternateProcess">
          <a:avLst/>
        </a:prstGeom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1100" b="1" baseline="0">
              <a:solidFill>
                <a:sysClr val="windowText" lastClr="000000"/>
              </a:solidFill>
            </a:rPr>
            <a:t>VALOR IMPRIMIBLE </a:t>
          </a:r>
          <a:endParaRPr lang="es-EC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438149</xdr:colOff>
      <xdr:row>6</xdr:row>
      <xdr:rowOff>57150</xdr:rowOff>
    </xdr:from>
    <xdr:to>
      <xdr:col>8</xdr:col>
      <xdr:colOff>742950</xdr:colOff>
      <xdr:row>25</xdr:row>
      <xdr:rowOff>57150</xdr:rowOff>
    </xdr:to>
    <xdr:sp macro="" textlink="">
      <xdr:nvSpPr>
        <xdr:cNvPr id="2" name="1 Elipse"/>
        <xdr:cNvSpPr/>
      </xdr:nvSpPr>
      <xdr:spPr>
        <a:xfrm>
          <a:off x="3486149" y="1028700"/>
          <a:ext cx="3352801" cy="3076575"/>
        </a:xfrm>
        <a:prstGeom prst="ellipse">
          <a:avLst/>
        </a:prstGeom>
        <a:solidFill>
          <a:srgbClr val="00B0F0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6</xdr:col>
      <xdr:colOff>485775</xdr:colOff>
      <xdr:row>15</xdr:row>
      <xdr:rowOff>185738</xdr:rowOff>
    </xdr:from>
    <xdr:to>
      <xdr:col>8</xdr:col>
      <xdr:colOff>742950</xdr:colOff>
      <xdr:row>16</xdr:row>
      <xdr:rowOff>47627</xdr:rowOff>
    </xdr:to>
    <xdr:cxnSp macro="">
      <xdr:nvCxnSpPr>
        <xdr:cNvPr id="4" name="3 Conector recto de flecha"/>
        <xdr:cNvCxnSpPr/>
      </xdr:nvCxnSpPr>
      <xdr:spPr>
        <a:xfrm flipV="1">
          <a:off x="6762750" y="2662238"/>
          <a:ext cx="1781175" cy="5238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361950</xdr:colOff>
      <xdr:row>25</xdr:row>
      <xdr:rowOff>76200</xdr:rowOff>
    </xdr:from>
    <xdr:to>
      <xdr:col>8</xdr:col>
      <xdr:colOff>666750</xdr:colOff>
      <xdr:row>25</xdr:row>
      <xdr:rowOff>95251</xdr:rowOff>
    </xdr:to>
    <xdr:cxnSp macro="">
      <xdr:nvCxnSpPr>
        <xdr:cNvPr id="6" name="5 Conector recto de flecha"/>
        <xdr:cNvCxnSpPr/>
      </xdr:nvCxnSpPr>
      <xdr:spPr>
        <a:xfrm flipV="1">
          <a:off x="3409950" y="4124325"/>
          <a:ext cx="3352800" cy="19051"/>
        </a:xfrm>
        <a:prstGeom prst="straightConnector1">
          <a:avLst/>
        </a:prstGeom>
        <a:ln>
          <a:headEnd type="arrow"/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571500</xdr:colOff>
      <xdr:row>2</xdr:row>
      <xdr:rowOff>0</xdr:rowOff>
    </xdr:from>
    <xdr:to>
      <xdr:col>7</xdr:col>
      <xdr:colOff>609600</xdr:colOff>
      <xdr:row>4</xdr:row>
      <xdr:rowOff>0</xdr:rowOff>
    </xdr:to>
    <xdr:sp macro="" textlink="">
      <xdr:nvSpPr>
        <xdr:cNvPr id="12" name="11 Redondear rectángulo de esquina del mismo lado">
          <a:hlinkClick xmlns:r="http://schemas.openxmlformats.org/officeDocument/2006/relationships" r:id="rId1"/>
        </xdr:cNvPr>
        <xdr:cNvSpPr/>
      </xdr:nvSpPr>
      <xdr:spPr>
        <a:xfrm>
          <a:off x="6086475" y="323850"/>
          <a:ext cx="1562100" cy="323850"/>
        </a:xfrm>
        <a:prstGeom prst="round2SameRect">
          <a:avLst>
            <a:gd name="adj1" fmla="val 50000"/>
            <a:gd name="adj2" fmla="val 0"/>
          </a:avLst>
        </a:prstGeom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1400" b="1" i="1"/>
            <a:t>Inicio</a:t>
          </a:r>
        </a:p>
      </xdr:txBody>
    </xdr:sp>
    <xdr:clientData/>
  </xdr:twoCellAnchor>
  <xdr:twoCellAnchor editAs="oneCell">
    <xdr:from>
      <xdr:col>1</xdr:col>
      <xdr:colOff>561974</xdr:colOff>
      <xdr:row>6</xdr:row>
      <xdr:rowOff>0</xdr:rowOff>
    </xdr:from>
    <xdr:to>
      <xdr:col>4</xdr:col>
      <xdr:colOff>47624</xdr:colOff>
      <xdr:row>26</xdr:row>
      <xdr:rowOff>194194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4" y="1019175"/>
          <a:ext cx="3476625" cy="3489844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571499</xdr:colOff>
      <xdr:row>5</xdr:row>
      <xdr:rowOff>76200</xdr:rowOff>
    </xdr:from>
    <xdr:to>
      <xdr:col>14</xdr:col>
      <xdr:colOff>238124</xdr:colOff>
      <xdr:row>26</xdr:row>
      <xdr:rowOff>60844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4974" y="885825"/>
          <a:ext cx="3476625" cy="34898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87995</xdr:rowOff>
    </xdr:from>
    <xdr:ext cx="12971318" cy="1202210"/>
    <xdr:sp macro="" textlink="">
      <xdr:nvSpPr>
        <xdr:cNvPr id="2" name="1 Rectángulo"/>
        <xdr:cNvSpPr/>
      </xdr:nvSpPr>
      <xdr:spPr>
        <a:xfrm>
          <a:off x="0" y="417040"/>
          <a:ext cx="12971318" cy="1202210"/>
        </a:xfrm>
        <a:prstGeom prst="rect">
          <a:avLst/>
        </a:pr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  <a:reflection blurRad="6350" stA="50000" endA="300" endPos="55500" dist="50800" dir="5400000" sy="-100000" algn="bl" rotWithShape="0"/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91440" tIns="45720" rIns="91440" bIns="45720">
          <a:prstTxWarp prst="textArchUp">
            <a:avLst/>
          </a:prstTxWarp>
          <a:noAutofit/>
        </a:bodyPr>
        <a:lstStyle/>
        <a:p>
          <a:pPr algn="ctr"/>
          <a:endParaRPr lang="es-ES" sz="2400" b="1" i="1" cap="none" spc="0">
            <a:ln w="9525">
              <a:solidFill>
                <a:schemeClr val="bg1"/>
              </a:solidFill>
              <a:prstDash val="solid"/>
            </a:ln>
            <a:solidFill>
              <a:schemeClr val="accent5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Wickenden Cafe NDP" panose="00000400000000000000" pitchFamily="2" charset="0"/>
          </a:endParaRPr>
        </a:p>
        <a:p>
          <a:pPr algn="ctr"/>
          <a:endParaRPr lang="es-ES" sz="2800" b="1" i="1" cap="none" spc="0">
            <a:ln w="9525">
              <a:solidFill>
                <a:schemeClr val="bg1"/>
              </a:solidFill>
              <a:prstDash val="solid"/>
            </a:ln>
            <a:solidFill>
              <a:schemeClr val="accent5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Wickenden Cafe NDP" panose="00000400000000000000" pitchFamily="2" charset="0"/>
          </a:endParaRPr>
        </a:p>
        <a:p>
          <a:pPr algn="ctr"/>
          <a:r>
            <a:rPr lang="es-ES" sz="2800" b="1" i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Wickenden Cafe NDP" panose="00000400000000000000" pitchFamily="2" charset="0"/>
            </a:rPr>
            <a:t>TABLA PARA EL CONTROL</a:t>
          </a:r>
          <a:r>
            <a:rPr lang="es-ES" sz="2800" b="1" i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  <a:latin typeface="Wickenden Cafe NDP" panose="00000400000000000000" pitchFamily="2" charset="0"/>
            </a:rPr>
            <a:t>  DEL ENTRENAMIENTO DE ACUERDO A LA VMA .</a:t>
          </a:r>
          <a:endParaRPr lang="es-ES" sz="2800" b="1" i="1" cap="none" spc="0">
            <a:ln w="9525">
              <a:solidFill>
                <a:schemeClr val="bg1"/>
              </a:solidFill>
              <a:prstDash val="solid"/>
            </a:ln>
            <a:solidFill>
              <a:schemeClr val="accent5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  <a:latin typeface="Wickenden Cafe NDP" panose="00000400000000000000" pitchFamily="2" charset="0"/>
          </a:endParaRPr>
        </a:p>
      </xdr:txBody>
    </xdr:sp>
    <xdr:clientData/>
  </xdr:oneCellAnchor>
  <xdr:twoCellAnchor>
    <xdr:from>
      <xdr:col>8</xdr:col>
      <xdr:colOff>190500</xdr:colOff>
      <xdr:row>5</xdr:row>
      <xdr:rowOff>66674</xdr:rowOff>
    </xdr:from>
    <xdr:to>
      <xdr:col>11</xdr:col>
      <xdr:colOff>6928</xdr:colOff>
      <xdr:row>7</xdr:row>
      <xdr:rowOff>0</xdr:rowOff>
    </xdr:to>
    <xdr:sp macro="" textlink="">
      <xdr:nvSpPr>
        <xdr:cNvPr id="7" name="6 Rectángulo">
          <a:hlinkClick xmlns:r="http://schemas.openxmlformats.org/officeDocument/2006/relationships" r:id="rId1"/>
        </xdr:cNvPr>
        <xdr:cNvSpPr/>
      </xdr:nvSpPr>
      <xdr:spPr>
        <a:xfrm>
          <a:off x="5334000" y="889288"/>
          <a:ext cx="1167246" cy="262371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1100" b="1"/>
            <a:t>INICIO</a:t>
          </a:r>
        </a:p>
      </xdr:txBody>
    </xdr:sp>
    <xdr:clientData/>
  </xdr:twoCellAnchor>
  <xdr:twoCellAnchor editAs="oneCell">
    <xdr:from>
      <xdr:col>0</xdr:col>
      <xdr:colOff>190501</xdr:colOff>
      <xdr:row>30</xdr:row>
      <xdr:rowOff>138546</xdr:rowOff>
    </xdr:from>
    <xdr:to>
      <xdr:col>2</xdr:col>
      <xdr:colOff>199160</xdr:colOff>
      <xdr:row>37</xdr:row>
      <xdr:rowOff>43730</xdr:rowOff>
    </xdr:to>
    <xdr:pic>
      <xdr:nvPicPr>
        <xdr:cNvPr id="10" name="9 Imagen" descr="Corazoncito.gif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875" b="90000" l="5469" r="89844"/>
                  </a14:imgEffect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90501" y="5195455"/>
          <a:ext cx="762000" cy="1091480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18</xdr:col>
      <xdr:colOff>380997</xdr:colOff>
      <xdr:row>4</xdr:row>
      <xdr:rowOff>17321</xdr:rowOff>
    </xdr:from>
    <xdr:to>
      <xdr:col>27</xdr:col>
      <xdr:colOff>372338</xdr:colOff>
      <xdr:row>39</xdr:row>
      <xdr:rowOff>95252</xdr:rowOff>
    </xdr:to>
    <xdr:pic>
      <xdr:nvPicPr>
        <xdr:cNvPr id="13" name="1 Imagen" descr="3D-Character-23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99603" l="279" r="100000">
                      <a14:foregroundMark x1="35655" y1="42460" x2="35655" y2="42460"/>
                      <a14:foregroundMark x1="30780" y1="52646" x2="30780" y2="52646"/>
                      <a14:foregroundMark x1="13092" y1="59788" x2="13092" y2="59788"/>
                      <a14:foregroundMark x1="33008" y1="75529" x2="33008" y2="75529"/>
                      <a14:foregroundMark x1="21448" y1="47619" x2="21448" y2="47619"/>
                      <a14:foregroundMark x1="28969" y1="37963" x2="28969" y2="37963"/>
                      <a14:foregroundMark x1="31894" y1="36376" x2="31894" y2="36376"/>
                      <a14:foregroundMark x1="35933" y1="22619" x2="35933" y2="22619"/>
                      <a14:foregroundMark x1="38022" y1="21164" x2="38022" y2="21164"/>
                      <a14:foregroundMark x1="36490" y1="28042" x2="36490" y2="28042"/>
                      <a14:foregroundMark x1="33426" y1="28968" x2="33426" y2="28968"/>
                      <a14:foregroundMark x1="33008" y1="26984" x2="33008" y2="26984"/>
                      <a14:foregroundMark x1="31894" y1="26190" x2="31894" y2="26190"/>
                      <a14:foregroundMark x1="31058" y1="23413" x2="31058" y2="23413"/>
                      <a14:foregroundMark x1="31616" y1="21164" x2="31616" y2="21164"/>
                      <a14:foregroundMark x1="27577" y1="41931" x2="27577" y2="42725"/>
                      <a14:foregroundMark x1="27577" y1="45503" x2="27577" y2="45503"/>
                      <a14:foregroundMark x1="17688" y1="44841" x2="17688" y2="44841"/>
                      <a14:foregroundMark x1="27298" y1="47354" x2="27298" y2="47354"/>
                      <a14:foregroundMark x1="43175" y1="53439" x2="43175" y2="53439"/>
                      <a14:foregroundMark x1="16852" y1="83201" x2="16852" y2="83201"/>
                      <a14:foregroundMark x1="14485" y1="80688" x2="14485" y2="80688"/>
                      <a14:foregroundMark x1="42061" y1="74339" x2="42061" y2="74339"/>
                      <a14:foregroundMark x1="42897" y1="88492" x2="42897" y2="88492"/>
                      <a14:foregroundMark x1="20056" y1="87302" x2="20056" y2="87302"/>
                      <a14:foregroundMark x1="38301" y1="25661" x2="38301" y2="25661"/>
                      <a14:foregroundMark x1="36212" y1="24206" x2="36212" y2="24206"/>
                      <a14:foregroundMark x1="35655" y1="24206" x2="35655" y2="24206"/>
                      <a14:foregroundMark x1="37187" y1="24471" x2="37187" y2="24471"/>
                      <a14:foregroundMark x1="23259" y1="40476" x2="23259" y2="40476"/>
                      <a14:foregroundMark x1="22981" y1="39947" x2="22981" y2="39947"/>
                      <a14:foregroundMark x1="43175" y1="50661" x2="43175" y2="50661"/>
                      <a14:foregroundMark x1="43454" y1="50661" x2="43454" y2="50661"/>
                      <a14:foregroundMark x1="34819" y1="69709" x2="34819" y2="69709"/>
                      <a14:foregroundMark x1="11838" y1="85979" x2="11838" y2="85979"/>
                      <a14:foregroundMark x1="12813" y1="82672" x2="12813" y2="82672"/>
                      <a14:foregroundMark x1="13928" y1="81481" x2="13928" y2="81481"/>
                      <a14:foregroundMark x1="16017" y1="78571" x2="16017" y2="78571"/>
                      <a14:foregroundMark x1="17131" y1="77116" x2="17131" y2="77116"/>
                      <a14:foregroundMark x1="18245" y1="75529" x2="18245" y2="75529"/>
                      <a14:foregroundMark x1="20891" y1="71296" x2="20891" y2="71296"/>
                      <a14:foregroundMark x1="88440" y1="51852" x2="88440" y2="51852"/>
                      <a14:foregroundMark x1="92618" y1="50132" x2="92618" y2="50132"/>
                      <a14:foregroundMark x1="95404" y1="52910" x2="95404" y2="52910"/>
                      <a14:foregroundMark x1="76323" y1="43519" x2="76323" y2="43519"/>
                      <a14:foregroundMark x1="80362" y1="42460" x2="80362" y2="42460"/>
                      <a14:foregroundMark x1="40669" y1="77381" x2="40669" y2="7738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270" y="675412"/>
          <a:ext cx="3506932" cy="59920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432954</xdr:colOff>
      <xdr:row>0</xdr:row>
      <xdr:rowOff>0</xdr:rowOff>
    </xdr:from>
    <xdr:to>
      <xdr:col>16</xdr:col>
      <xdr:colOff>406977</xdr:colOff>
      <xdr:row>13</xdr:row>
      <xdr:rowOff>8462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72" y="0"/>
          <a:ext cx="2225387" cy="2233848"/>
        </a:xfrm>
        <a:prstGeom prst="rect">
          <a:avLst/>
        </a:prstGeom>
      </xdr:spPr>
    </xdr:pic>
    <xdr:clientData/>
  </xdr:twoCellAnchor>
  <xdr:twoCellAnchor editAs="oneCell">
    <xdr:from>
      <xdr:col>2</xdr:col>
      <xdr:colOff>992332</xdr:colOff>
      <xdr:row>36</xdr:row>
      <xdr:rowOff>51954</xdr:rowOff>
    </xdr:from>
    <xdr:to>
      <xdr:col>4</xdr:col>
      <xdr:colOff>333087</xdr:colOff>
      <xdr:row>45</xdr:row>
      <xdr:rowOff>160861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673" y="6130636"/>
          <a:ext cx="1618096" cy="1624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452904</xdr:colOff>
      <xdr:row>21</xdr:row>
      <xdr:rowOff>114839</xdr:rowOff>
    </xdr:from>
    <xdr:ext cx="964816" cy="966425"/>
    <xdr:sp macro="" textlink="">
      <xdr:nvSpPr>
        <xdr:cNvPr id="5" name="4 Rectángulo"/>
        <xdr:cNvSpPr/>
      </xdr:nvSpPr>
      <xdr:spPr>
        <a:xfrm>
          <a:off x="4922327" y="3820169"/>
          <a:ext cx="964816" cy="96642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A2</a:t>
          </a:r>
        </a:p>
      </xdr:txBody>
    </xdr:sp>
    <xdr:clientData/>
  </xdr:oneCellAnchor>
  <xdr:oneCellAnchor>
    <xdr:from>
      <xdr:col>10</xdr:col>
      <xdr:colOff>554644</xdr:colOff>
      <xdr:row>26</xdr:row>
      <xdr:rowOff>132947</xdr:rowOff>
    </xdr:from>
    <xdr:ext cx="964816" cy="966425"/>
    <xdr:sp macro="" textlink="">
      <xdr:nvSpPr>
        <xdr:cNvPr id="6" name="5 Rectángulo"/>
        <xdr:cNvSpPr/>
      </xdr:nvSpPr>
      <xdr:spPr>
        <a:xfrm>
          <a:off x="5788160" y="4675639"/>
          <a:ext cx="964816" cy="96642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A1</a:t>
          </a:r>
        </a:p>
      </xdr:txBody>
    </xdr:sp>
    <xdr:clientData/>
  </xdr:oneCellAnchor>
  <xdr:oneCellAnchor>
    <xdr:from>
      <xdr:col>7</xdr:col>
      <xdr:colOff>558207</xdr:colOff>
      <xdr:row>13</xdr:row>
      <xdr:rowOff>14878</xdr:rowOff>
    </xdr:from>
    <xdr:ext cx="1106051" cy="937629"/>
    <xdr:sp macro="" textlink="">
      <xdr:nvSpPr>
        <xdr:cNvPr id="7" name="6 Rectángulo"/>
        <xdr:cNvSpPr/>
      </xdr:nvSpPr>
      <xdr:spPr>
        <a:xfrm>
          <a:off x="3499443" y="2380427"/>
          <a:ext cx="1106051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A4</a:t>
          </a:r>
        </a:p>
      </xdr:txBody>
    </xdr:sp>
    <xdr:clientData/>
  </xdr:oneCellAnchor>
  <xdr:oneCellAnchor>
    <xdr:from>
      <xdr:col>8</xdr:col>
      <xdr:colOff>518743</xdr:colOff>
      <xdr:row>17</xdr:row>
      <xdr:rowOff>2527</xdr:rowOff>
    </xdr:from>
    <xdr:ext cx="955644" cy="937629"/>
    <xdr:sp macro="" textlink="">
      <xdr:nvSpPr>
        <xdr:cNvPr id="8" name="7 Rectángulo"/>
        <xdr:cNvSpPr/>
      </xdr:nvSpPr>
      <xdr:spPr>
        <a:xfrm>
          <a:off x="4224073" y="3037967"/>
          <a:ext cx="95564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A3</a:t>
          </a:r>
        </a:p>
      </xdr:txBody>
    </xdr:sp>
    <xdr:clientData/>
  </xdr:oneCellAnchor>
  <xdr:twoCellAnchor>
    <xdr:from>
      <xdr:col>5</xdr:col>
      <xdr:colOff>130106</xdr:colOff>
      <xdr:row>4</xdr:row>
      <xdr:rowOff>59139</xdr:rowOff>
    </xdr:from>
    <xdr:to>
      <xdr:col>7</xdr:col>
      <xdr:colOff>717098</xdr:colOff>
      <xdr:row>5</xdr:row>
      <xdr:rowOff>6699</xdr:rowOff>
    </xdr:to>
    <xdr:sp macro="" textlink="">
      <xdr:nvSpPr>
        <xdr:cNvPr id="10" name="9 Rectángulo redondeado">
          <a:hlinkClick xmlns:r="http://schemas.openxmlformats.org/officeDocument/2006/relationships" r:id="rId1"/>
        </xdr:cNvPr>
        <xdr:cNvSpPr/>
      </xdr:nvSpPr>
      <xdr:spPr>
        <a:xfrm>
          <a:off x="2286315" y="770897"/>
          <a:ext cx="1372019" cy="209236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1100"/>
            <a:t>INICIO</a:t>
          </a:r>
        </a:p>
      </xdr:txBody>
    </xdr:sp>
    <xdr:clientData/>
  </xdr:twoCellAnchor>
  <xdr:oneCellAnchor>
    <xdr:from>
      <xdr:col>4</xdr:col>
      <xdr:colOff>92209</xdr:colOff>
      <xdr:row>5</xdr:row>
      <xdr:rowOff>47224</xdr:rowOff>
    </xdr:from>
    <xdr:ext cx="1153367" cy="737804"/>
    <xdr:sp macro="" textlink="">
      <xdr:nvSpPr>
        <xdr:cNvPr id="9" name="8 Rectángulo"/>
        <xdr:cNvSpPr/>
      </xdr:nvSpPr>
      <xdr:spPr>
        <a:xfrm>
          <a:off x="1903006" y="1041592"/>
          <a:ext cx="1153367" cy="73780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A6</a:t>
          </a:r>
        </a:p>
      </xdr:txBody>
    </xdr:sp>
    <xdr:clientData/>
  </xdr:oneCellAnchor>
  <xdr:oneCellAnchor>
    <xdr:from>
      <xdr:col>7</xdr:col>
      <xdr:colOff>45633</xdr:colOff>
      <xdr:row>8</xdr:row>
      <xdr:rowOff>173229</xdr:rowOff>
    </xdr:from>
    <xdr:ext cx="1377883" cy="937629"/>
    <xdr:sp macro="" textlink="">
      <xdr:nvSpPr>
        <xdr:cNvPr id="11" name="10 Rectángulo"/>
        <xdr:cNvSpPr/>
      </xdr:nvSpPr>
      <xdr:spPr>
        <a:xfrm>
          <a:off x="2986869" y="1690949"/>
          <a:ext cx="1377883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A5</a:t>
          </a:r>
        </a:p>
      </xdr:txBody>
    </xdr:sp>
    <xdr:clientData/>
  </xdr:oneCellAnchor>
  <xdr:twoCellAnchor>
    <xdr:from>
      <xdr:col>1</xdr:col>
      <xdr:colOff>10467</xdr:colOff>
      <xdr:row>34</xdr:row>
      <xdr:rowOff>20932</xdr:rowOff>
    </xdr:from>
    <xdr:to>
      <xdr:col>10</xdr:col>
      <xdr:colOff>251209</xdr:colOff>
      <xdr:row>55</xdr:row>
      <xdr:rowOff>10467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20934</xdr:colOff>
      <xdr:row>34</xdr:row>
      <xdr:rowOff>10467</xdr:rowOff>
    </xdr:from>
    <xdr:to>
      <xdr:col>17</xdr:col>
      <xdr:colOff>732693</xdr:colOff>
      <xdr:row>54</xdr:row>
      <xdr:rowOff>94204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1025769</xdr:colOff>
      <xdr:row>33</xdr:row>
      <xdr:rowOff>146538</xdr:rowOff>
    </xdr:from>
    <xdr:to>
      <xdr:col>27</xdr:col>
      <xdr:colOff>20934</xdr:colOff>
      <xdr:row>54</xdr:row>
      <xdr:rowOff>20934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690822</xdr:colOff>
      <xdr:row>5</xdr:row>
      <xdr:rowOff>73270</xdr:rowOff>
    </xdr:from>
    <xdr:to>
      <xdr:col>2</xdr:col>
      <xdr:colOff>301137</xdr:colOff>
      <xdr:row>10</xdr:row>
      <xdr:rowOff>54952</xdr:rowOff>
    </xdr:to>
    <xdr:pic>
      <xdr:nvPicPr>
        <xdr:cNvPr id="18" name="17 Imagen" descr="Corazoncito.gif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0822" y="1067638"/>
          <a:ext cx="816431" cy="85044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19</xdr:col>
      <xdr:colOff>10467</xdr:colOff>
      <xdr:row>6</xdr:row>
      <xdr:rowOff>52335</xdr:rowOff>
    </xdr:from>
    <xdr:to>
      <xdr:col>21</xdr:col>
      <xdr:colOff>425171</xdr:colOff>
      <xdr:row>9</xdr:row>
      <xdr:rowOff>120476</xdr:rowOff>
    </xdr:to>
    <xdr:pic>
      <xdr:nvPicPr>
        <xdr:cNvPr id="19" name="18 Imagen" descr="comida-19.gif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09066" y="1235110"/>
          <a:ext cx="781050" cy="581025"/>
        </a:xfrm>
        <a:prstGeom prst="rect">
          <a:avLst/>
        </a:prstGeom>
      </xdr:spPr>
    </xdr:pic>
    <xdr:clientData/>
  </xdr:twoCellAnchor>
  <xdr:twoCellAnchor editAs="oneCell">
    <xdr:from>
      <xdr:col>17</xdr:col>
      <xdr:colOff>73270</xdr:colOff>
      <xdr:row>4</xdr:row>
      <xdr:rowOff>240743</xdr:rowOff>
    </xdr:from>
    <xdr:to>
      <xdr:col>18</xdr:col>
      <xdr:colOff>10467</xdr:colOff>
      <xdr:row>10</xdr:row>
      <xdr:rowOff>83737</xdr:rowOff>
    </xdr:to>
    <xdr:pic>
      <xdr:nvPicPr>
        <xdr:cNvPr id="20" name="19 Imagen" descr="x_corredor.gif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51896" y="973435"/>
          <a:ext cx="973434" cy="973434"/>
        </a:xfrm>
        <a:prstGeom prst="rect">
          <a:avLst/>
        </a:prstGeom>
      </xdr:spPr>
    </xdr:pic>
    <xdr:clientData/>
  </xdr:twoCellAnchor>
  <xdr:twoCellAnchor editAs="oneCell">
    <xdr:from>
      <xdr:col>22</xdr:col>
      <xdr:colOff>31401</xdr:colOff>
      <xdr:row>5</xdr:row>
      <xdr:rowOff>10467</xdr:rowOff>
    </xdr:from>
    <xdr:to>
      <xdr:col>27</xdr:col>
      <xdr:colOff>397747</xdr:colOff>
      <xdr:row>33</xdr:row>
      <xdr:rowOff>20934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591841" y="1004835"/>
          <a:ext cx="4186813" cy="4752033"/>
        </a:xfrm>
        <a:prstGeom prst="rect">
          <a:avLst/>
        </a:prstGeom>
      </xdr:spPr>
    </xdr:pic>
    <xdr:clientData/>
  </xdr:twoCellAnchor>
  <xdr:oneCellAnchor>
    <xdr:from>
      <xdr:col>5</xdr:col>
      <xdr:colOff>1165</xdr:colOff>
      <xdr:row>3</xdr:row>
      <xdr:rowOff>20935</xdr:rowOff>
    </xdr:from>
    <xdr:ext cx="9461031" cy="937629"/>
    <xdr:sp macro="" textlink="">
      <xdr:nvSpPr>
        <xdr:cNvPr id="2" name="Rectángulo 1"/>
        <xdr:cNvSpPr/>
      </xdr:nvSpPr>
      <xdr:spPr>
        <a:xfrm>
          <a:off x="2157374" y="491951"/>
          <a:ext cx="9461031" cy="937629"/>
        </a:xfrm>
        <a:prstGeom prst="rect">
          <a:avLst/>
        </a:prstGeom>
        <a:noFill/>
      </xdr:spPr>
      <xdr:txBody>
        <a:bodyPr wrap="square" lIns="91440" tIns="45720" rIns="91440" bIns="45720">
          <a:prstTxWarp prst="textArchUp">
            <a:avLst/>
          </a:prstTxWarp>
          <a:spAutoFit/>
        </a:bodyPr>
        <a:lstStyle/>
        <a:p>
          <a:pPr algn="ctr"/>
          <a:r>
            <a:rPr lang="es-ES" sz="36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Wickenden Cafe NDP" panose="00000400000000000000" pitchFamily="2" charset="0"/>
            </a:rPr>
            <a:t>GRAFICO</a:t>
          </a:r>
          <a:r>
            <a:rPr lang="es-ES" sz="36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Wickenden Cafe NDP" panose="00000400000000000000" pitchFamily="2" charset="0"/>
            </a:rPr>
            <a:t> DE ZONAS</a:t>
          </a:r>
          <a:r>
            <a:rPr lang="es-ES" sz="3600" b="1" cap="none" spc="0" baseline="0">
              <a:ln w="9525">
                <a:solidFill>
                  <a:schemeClr val="bg1"/>
                </a:solidFill>
                <a:prstDash val="solid"/>
              </a:ln>
              <a:solidFill>
                <a:schemeClr val="accent5"/>
              </a:solidFill>
              <a:effectLst>
                <a:outerShdw blurRad="12700" dist="38100" dir="2700000" algn="tl" rotWithShape="0">
                  <a:schemeClr val="accent5">
                    <a:lumMod val="60000"/>
                    <a:lumOff val="40000"/>
                  </a:schemeClr>
                </a:outerShdw>
              </a:effectLst>
            </a:rPr>
            <a:t>.</a:t>
          </a:r>
          <a:endParaRPr lang="es-ES" sz="3600" b="1" cap="none" spc="0">
            <a:ln w="9525">
              <a:solidFill>
                <a:schemeClr val="bg1"/>
              </a:solidFill>
              <a:prstDash val="solid"/>
            </a:ln>
            <a:solidFill>
              <a:schemeClr val="accent5"/>
            </a:solidFill>
            <a:effectLst>
              <a:outerShdw blurRad="12700" dist="38100" dir="2700000" algn="tl" rotWithShape="0">
                <a:schemeClr val="accent5">
                  <a:lumMod val="60000"/>
                  <a:lumOff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21</xdr:col>
      <xdr:colOff>481484</xdr:colOff>
      <xdr:row>0</xdr:row>
      <xdr:rowOff>0</xdr:rowOff>
    </xdr:from>
    <xdr:to>
      <xdr:col>24</xdr:col>
      <xdr:colOff>575688</xdr:colOff>
      <xdr:row>12</xdr:row>
      <xdr:rowOff>62801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9" cstate="print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5495" y="0"/>
          <a:ext cx="2438819" cy="2239944"/>
        </a:xfrm>
        <a:prstGeom prst="rect">
          <a:avLst/>
        </a:prstGeom>
      </xdr:spPr>
    </xdr:pic>
    <xdr:clientData/>
  </xdr:twoCellAnchor>
  <xdr:twoCellAnchor editAs="oneCell">
    <xdr:from>
      <xdr:col>11</xdr:col>
      <xdr:colOff>347365</xdr:colOff>
      <xdr:row>50</xdr:row>
      <xdr:rowOff>31401</xdr:rowOff>
    </xdr:from>
    <xdr:to>
      <xdr:col>16</xdr:col>
      <xdr:colOff>408215</xdr:colOff>
      <xdr:row>70</xdr:row>
      <xdr:rowOff>52336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10" cstate="print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3107" y="8415494"/>
          <a:ext cx="3441701" cy="31610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466725</xdr:colOff>
      <xdr:row>3</xdr:row>
      <xdr:rowOff>57150</xdr:rowOff>
    </xdr:from>
    <xdr:to>
      <xdr:col>14</xdr:col>
      <xdr:colOff>323850</xdr:colOff>
      <xdr:row>4</xdr:row>
      <xdr:rowOff>152400</xdr:rowOff>
    </xdr:to>
    <xdr:sp macro="" textlink="">
      <xdr:nvSpPr>
        <xdr:cNvPr id="4" name="3 Rectángulo">
          <a:hlinkClick xmlns:r="http://schemas.openxmlformats.org/officeDocument/2006/relationships" r:id="rId1"/>
        </xdr:cNvPr>
        <xdr:cNvSpPr/>
      </xdr:nvSpPr>
      <xdr:spPr>
        <a:xfrm>
          <a:off x="7010400" y="542925"/>
          <a:ext cx="914400" cy="257175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1100"/>
            <a:t>INICIO</a:t>
          </a:r>
        </a:p>
      </xdr:txBody>
    </xdr:sp>
    <xdr:clientData/>
  </xdr:twoCellAnchor>
  <xdr:twoCellAnchor editAs="oneCell">
    <xdr:from>
      <xdr:col>15</xdr:col>
      <xdr:colOff>276225</xdr:colOff>
      <xdr:row>0</xdr:row>
      <xdr:rowOff>133350</xdr:rowOff>
    </xdr:from>
    <xdr:to>
      <xdr:col>19</xdr:col>
      <xdr:colOff>304800</xdr:colOff>
      <xdr:row>19</xdr:row>
      <xdr:rowOff>109543</xdr:rowOff>
    </xdr:to>
    <xdr:pic>
      <xdr:nvPicPr>
        <xdr:cNvPr id="5" name="Picture 39" descr="libreta2WE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91525" y="133350"/>
          <a:ext cx="2819400" cy="3062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180976</xdr:colOff>
      <xdr:row>0</xdr:row>
      <xdr:rowOff>0</xdr:rowOff>
    </xdr:from>
    <xdr:to>
      <xdr:col>7</xdr:col>
      <xdr:colOff>257176</xdr:colOff>
      <xdr:row>6</xdr:row>
      <xdr:rowOff>33725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print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6" y="0"/>
          <a:ext cx="1104900" cy="1014800"/>
        </a:xfrm>
        <a:prstGeom prst="rect">
          <a:avLst/>
        </a:prstGeom>
      </xdr:spPr>
    </xdr:pic>
    <xdr:clientData/>
  </xdr:twoCellAnchor>
  <xdr:twoCellAnchor editAs="oneCell">
    <xdr:from>
      <xdr:col>14</xdr:col>
      <xdr:colOff>400050</xdr:colOff>
      <xdr:row>15</xdr:row>
      <xdr:rowOff>96516</xdr:rowOff>
    </xdr:from>
    <xdr:to>
      <xdr:col>18</xdr:col>
      <xdr:colOff>655581</xdr:colOff>
      <xdr:row>31</xdr:row>
      <xdr:rowOff>66674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4" cstate="print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2534916"/>
          <a:ext cx="2798706" cy="257048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34</xdr:row>
      <xdr:rowOff>59930</xdr:rowOff>
    </xdr:from>
    <xdr:to>
      <xdr:col>3</xdr:col>
      <xdr:colOff>114300</xdr:colOff>
      <xdr:row>44</xdr:row>
      <xdr:rowOff>9524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441555"/>
          <a:ext cx="1552575" cy="14259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495299</xdr:colOff>
      <xdr:row>11</xdr:row>
      <xdr:rowOff>57150</xdr:rowOff>
    </xdr:from>
    <xdr:to>
      <xdr:col>10</xdr:col>
      <xdr:colOff>695324</xdr:colOff>
      <xdr:row>30</xdr:row>
      <xdr:rowOff>57150</xdr:rowOff>
    </xdr:to>
    <xdr:sp macro="" textlink="">
      <xdr:nvSpPr>
        <xdr:cNvPr id="2" name="1 Elipse"/>
        <xdr:cNvSpPr/>
      </xdr:nvSpPr>
      <xdr:spPr>
        <a:xfrm>
          <a:off x="5067299" y="1838325"/>
          <a:ext cx="3248025" cy="3076575"/>
        </a:xfrm>
        <a:prstGeom prst="ellipse">
          <a:avLst/>
        </a:prstGeom>
        <a:solidFill>
          <a:srgbClr val="FFFF00"/>
        </a:solidFill>
        <a:ln>
          <a:noFill/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8</xdr:col>
      <xdr:colOff>542925</xdr:colOff>
      <xdr:row>20</xdr:row>
      <xdr:rowOff>114300</xdr:rowOff>
    </xdr:from>
    <xdr:to>
      <xdr:col>10</xdr:col>
      <xdr:colOff>695324</xdr:colOff>
      <xdr:row>21</xdr:row>
      <xdr:rowOff>0</xdr:rowOff>
    </xdr:to>
    <xdr:cxnSp macro="">
      <xdr:nvCxnSpPr>
        <xdr:cNvPr id="3" name="2 Conector recto de flecha"/>
        <xdr:cNvCxnSpPr>
          <a:endCxn id="2" idx="6"/>
        </xdr:cNvCxnSpPr>
      </xdr:nvCxnSpPr>
      <xdr:spPr>
        <a:xfrm flipV="1">
          <a:off x="6638925" y="3352800"/>
          <a:ext cx="1676399" cy="476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304800</xdr:colOff>
      <xdr:row>29</xdr:row>
      <xdr:rowOff>123825</xdr:rowOff>
    </xdr:from>
    <xdr:to>
      <xdr:col>10</xdr:col>
      <xdr:colOff>609600</xdr:colOff>
      <xdr:row>29</xdr:row>
      <xdr:rowOff>142876</xdr:rowOff>
    </xdr:to>
    <xdr:cxnSp macro="">
      <xdr:nvCxnSpPr>
        <xdr:cNvPr id="4" name="3 Conector recto de flecha"/>
        <xdr:cNvCxnSpPr/>
      </xdr:nvCxnSpPr>
      <xdr:spPr>
        <a:xfrm flipV="1">
          <a:off x="3352800" y="4010025"/>
          <a:ext cx="3352800" cy="19051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66675</xdr:colOff>
      <xdr:row>0</xdr:row>
      <xdr:rowOff>114300</xdr:rowOff>
    </xdr:from>
    <xdr:to>
      <xdr:col>1</xdr:col>
      <xdr:colOff>695325</xdr:colOff>
      <xdr:row>1</xdr:row>
      <xdr:rowOff>133350</xdr:rowOff>
    </xdr:to>
    <xdr:sp macro="" textlink="">
      <xdr:nvSpPr>
        <xdr:cNvPr id="5" name="4 Redondear rectángulo de esquina del mismo lado">
          <a:hlinkClick xmlns:r="http://schemas.openxmlformats.org/officeDocument/2006/relationships" r:id="rId1"/>
        </xdr:cNvPr>
        <xdr:cNvSpPr/>
      </xdr:nvSpPr>
      <xdr:spPr>
        <a:xfrm>
          <a:off x="66675" y="114300"/>
          <a:ext cx="1390650" cy="180975"/>
        </a:xfrm>
        <a:prstGeom prst="round2SameRect">
          <a:avLst/>
        </a:prstGeom>
        <a:solidFill>
          <a:schemeClr val="accent3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11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>
    <xdr:from>
      <xdr:col>1</xdr:col>
      <xdr:colOff>733425</xdr:colOff>
      <xdr:row>0</xdr:row>
      <xdr:rowOff>114300</xdr:rowOff>
    </xdr:from>
    <xdr:to>
      <xdr:col>4</xdr:col>
      <xdr:colOff>0</xdr:colOff>
      <xdr:row>2</xdr:row>
      <xdr:rowOff>0</xdr:rowOff>
    </xdr:to>
    <xdr:sp macro="" textlink="">
      <xdr:nvSpPr>
        <xdr:cNvPr id="7" name="6 Redondear rectángulo de esquina del mismo lado">
          <a:hlinkClick xmlns:r="http://schemas.openxmlformats.org/officeDocument/2006/relationships" r:id="rId2"/>
        </xdr:cNvPr>
        <xdr:cNvSpPr/>
      </xdr:nvSpPr>
      <xdr:spPr>
        <a:xfrm>
          <a:off x="1495425" y="114300"/>
          <a:ext cx="2362200" cy="209550"/>
        </a:xfrm>
        <a:prstGeom prst="round2SameRect">
          <a:avLst/>
        </a:prstGeom>
        <a:solidFill>
          <a:schemeClr val="accent3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1100">
              <a:solidFill>
                <a:sysClr val="windowText" lastClr="000000"/>
              </a:solidFill>
            </a:rPr>
            <a:t>ver</a:t>
          </a:r>
          <a:r>
            <a:rPr lang="es-EC" sz="1100" baseline="0">
              <a:solidFill>
                <a:sysClr val="windowText" lastClr="000000"/>
              </a:solidFill>
            </a:rPr>
            <a:t>  distancia de entrenamiento</a:t>
          </a:r>
          <a:endParaRPr lang="es-EC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457200</xdr:colOff>
      <xdr:row>3</xdr:row>
      <xdr:rowOff>9525</xdr:rowOff>
    </xdr:from>
    <xdr:to>
      <xdr:col>11</xdr:col>
      <xdr:colOff>923925</xdr:colOff>
      <xdr:row>4</xdr:row>
      <xdr:rowOff>114300</xdr:rowOff>
    </xdr:to>
    <xdr:sp macro="" textlink="">
      <xdr:nvSpPr>
        <xdr:cNvPr id="8" name="7 Rectángulo"/>
        <xdr:cNvSpPr/>
      </xdr:nvSpPr>
      <xdr:spPr>
        <a:xfrm>
          <a:off x="1219200" y="495300"/>
          <a:ext cx="9115425" cy="266700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1</xdr:col>
      <xdr:colOff>1381125</xdr:colOff>
      <xdr:row>34</xdr:row>
      <xdr:rowOff>114300</xdr:rowOff>
    </xdr:from>
    <xdr:to>
      <xdr:col>12</xdr:col>
      <xdr:colOff>38100</xdr:colOff>
      <xdr:row>36</xdr:row>
      <xdr:rowOff>57150</xdr:rowOff>
    </xdr:to>
    <xdr:sp macro="" textlink="">
      <xdr:nvSpPr>
        <xdr:cNvPr id="9" name="8 Rectángulo"/>
        <xdr:cNvSpPr/>
      </xdr:nvSpPr>
      <xdr:spPr>
        <a:xfrm>
          <a:off x="2143125" y="5619750"/>
          <a:ext cx="7562850" cy="266700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1</xdr:col>
      <xdr:colOff>323850</xdr:colOff>
      <xdr:row>3</xdr:row>
      <xdr:rowOff>9525</xdr:rowOff>
    </xdr:from>
    <xdr:to>
      <xdr:col>1</xdr:col>
      <xdr:colOff>523875</xdr:colOff>
      <xdr:row>36</xdr:row>
      <xdr:rowOff>66676</xdr:rowOff>
    </xdr:to>
    <xdr:sp macro="" textlink="">
      <xdr:nvSpPr>
        <xdr:cNvPr id="10" name="9 Rectángulo"/>
        <xdr:cNvSpPr/>
      </xdr:nvSpPr>
      <xdr:spPr>
        <a:xfrm rot="5400000">
          <a:off x="-1514475" y="3095625"/>
          <a:ext cx="5400676" cy="200025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11</xdr:col>
      <xdr:colOff>809624</xdr:colOff>
      <xdr:row>3</xdr:row>
      <xdr:rowOff>19051</xdr:rowOff>
    </xdr:from>
    <xdr:to>
      <xdr:col>12</xdr:col>
      <xdr:colOff>47625</xdr:colOff>
      <xdr:row>36</xdr:row>
      <xdr:rowOff>57153</xdr:rowOff>
    </xdr:to>
    <xdr:sp macro="" textlink="">
      <xdr:nvSpPr>
        <xdr:cNvPr id="11" name="10 Rectángulo"/>
        <xdr:cNvSpPr/>
      </xdr:nvSpPr>
      <xdr:spPr>
        <a:xfrm rot="5400000">
          <a:off x="7658098" y="3067052"/>
          <a:ext cx="5381627" cy="257176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 editAs="oneCell">
    <xdr:from>
      <xdr:col>7</xdr:col>
      <xdr:colOff>325941</xdr:colOff>
      <xdr:row>18</xdr:row>
      <xdr:rowOff>47625</xdr:rowOff>
    </xdr:from>
    <xdr:to>
      <xdr:col>10</xdr:col>
      <xdr:colOff>350780</xdr:colOff>
      <xdr:row>32</xdr:row>
      <xdr:rowOff>113033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0041" y="2962275"/>
          <a:ext cx="2539439" cy="2332358"/>
        </a:xfrm>
        <a:prstGeom prst="rect">
          <a:avLst/>
        </a:prstGeom>
      </xdr:spPr>
    </xdr:pic>
    <xdr:clientData/>
  </xdr:twoCellAnchor>
  <xdr:twoCellAnchor editAs="oneCell">
    <xdr:from>
      <xdr:col>1</xdr:col>
      <xdr:colOff>268791</xdr:colOff>
      <xdr:row>18</xdr:row>
      <xdr:rowOff>141119</xdr:rowOff>
    </xdr:from>
    <xdr:to>
      <xdr:col>3</xdr:col>
      <xdr:colOff>552450</xdr:colOff>
      <xdr:row>36</xdr:row>
      <xdr:rowOff>93983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791" y="3055769"/>
          <a:ext cx="3122109" cy="28675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581024</xdr:colOff>
      <xdr:row>15</xdr:row>
      <xdr:rowOff>104774</xdr:rowOff>
    </xdr:from>
    <xdr:to>
      <xdr:col>11</xdr:col>
      <xdr:colOff>0</xdr:colOff>
      <xdr:row>17</xdr:row>
      <xdr:rowOff>152399</xdr:rowOff>
    </xdr:to>
    <xdr:sp macro="" textlink="">
      <xdr:nvSpPr>
        <xdr:cNvPr id="3" name="2 Elipse"/>
        <xdr:cNvSpPr/>
      </xdr:nvSpPr>
      <xdr:spPr>
        <a:xfrm>
          <a:off x="5324474" y="2724149"/>
          <a:ext cx="1943101" cy="485775"/>
        </a:xfrm>
        <a:prstGeom prst="ellipse">
          <a:avLst/>
        </a:prstGeom>
        <a:ln>
          <a:noFill/>
        </a:ln>
        <a:effectLst>
          <a:glow rad="63500">
            <a:schemeClr val="accent3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11</xdr:col>
      <xdr:colOff>676275</xdr:colOff>
      <xdr:row>8</xdr:row>
      <xdr:rowOff>152400</xdr:rowOff>
    </xdr:from>
    <xdr:to>
      <xdr:col>13</xdr:col>
      <xdr:colOff>447674</xdr:colOff>
      <xdr:row>10</xdr:row>
      <xdr:rowOff>142875</xdr:rowOff>
    </xdr:to>
    <xdr:sp macro="" textlink="">
      <xdr:nvSpPr>
        <xdr:cNvPr id="4" name="3 Elipse">
          <a:hlinkClick xmlns:r="http://schemas.openxmlformats.org/officeDocument/2006/relationships" r:id="rId1"/>
        </xdr:cNvPr>
        <xdr:cNvSpPr/>
      </xdr:nvSpPr>
      <xdr:spPr>
        <a:xfrm>
          <a:off x="7943850" y="1628775"/>
          <a:ext cx="1295399" cy="333375"/>
        </a:xfrm>
        <a:prstGeom prst="ellipse">
          <a:avLst/>
        </a:prstGeom>
        <a:ln>
          <a:noFill/>
        </a:ln>
        <a:effectLst>
          <a:glow rad="63500">
            <a:schemeClr val="accent3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C" sz="1100"/>
            <a:t>INICIO</a:t>
          </a:r>
        </a:p>
      </xdr:txBody>
    </xdr:sp>
    <xdr:clientData/>
  </xdr:twoCellAnchor>
  <xdr:twoCellAnchor>
    <xdr:from>
      <xdr:col>3</xdr:col>
      <xdr:colOff>742949</xdr:colOff>
      <xdr:row>3</xdr:row>
      <xdr:rowOff>152400</xdr:rowOff>
    </xdr:from>
    <xdr:to>
      <xdr:col>13</xdr:col>
      <xdr:colOff>761999</xdr:colOff>
      <xdr:row>5</xdr:row>
      <xdr:rowOff>95250</xdr:rowOff>
    </xdr:to>
    <xdr:sp macro="" textlink="">
      <xdr:nvSpPr>
        <xdr:cNvPr id="5" name="4 Rectángulo"/>
        <xdr:cNvSpPr/>
      </xdr:nvSpPr>
      <xdr:spPr>
        <a:xfrm>
          <a:off x="3028949" y="638175"/>
          <a:ext cx="6524625" cy="266700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3</xdr:col>
      <xdr:colOff>761999</xdr:colOff>
      <xdr:row>31</xdr:row>
      <xdr:rowOff>19050</xdr:rowOff>
    </xdr:from>
    <xdr:to>
      <xdr:col>14</xdr:col>
      <xdr:colOff>19049</xdr:colOff>
      <xdr:row>32</xdr:row>
      <xdr:rowOff>123825</xdr:rowOff>
    </xdr:to>
    <xdr:sp macro="" textlink="">
      <xdr:nvSpPr>
        <xdr:cNvPr id="6" name="5 Rectángulo"/>
        <xdr:cNvSpPr/>
      </xdr:nvSpPr>
      <xdr:spPr>
        <a:xfrm>
          <a:off x="3047999" y="5200650"/>
          <a:ext cx="6524625" cy="266700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3</xdr:col>
      <xdr:colOff>690562</xdr:colOff>
      <xdr:row>3</xdr:row>
      <xdr:rowOff>152400</xdr:rowOff>
    </xdr:from>
    <xdr:to>
      <xdr:col>4</xdr:col>
      <xdr:colOff>195262</xdr:colOff>
      <xdr:row>32</xdr:row>
      <xdr:rowOff>123825</xdr:rowOff>
    </xdr:to>
    <xdr:sp macro="" textlink="">
      <xdr:nvSpPr>
        <xdr:cNvPr id="7" name="6 Rectángulo"/>
        <xdr:cNvSpPr/>
      </xdr:nvSpPr>
      <xdr:spPr>
        <a:xfrm rot="5400000">
          <a:off x="695324" y="2919413"/>
          <a:ext cx="4829175" cy="266700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>
    <xdr:from>
      <xdr:col>13</xdr:col>
      <xdr:colOff>528637</xdr:colOff>
      <xdr:row>3</xdr:row>
      <xdr:rowOff>142875</xdr:rowOff>
    </xdr:from>
    <xdr:to>
      <xdr:col>14</xdr:col>
      <xdr:colOff>33337</xdr:colOff>
      <xdr:row>32</xdr:row>
      <xdr:rowOff>123825</xdr:rowOff>
    </xdr:to>
    <xdr:sp macro="" textlink="">
      <xdr:nvSpPr>
        <xdr:cNvPr id="8" name="7 Rectángulo"/>
        <xdr:cNvSpPr/>
      </xdr:nvSpPr>
      <xdr:spPr>
        <a:xfrm rot="5400000">
          <a:off x="7958137" y="2914650"/>
          <a:ext cx="4838700" cy="266700"/>
        </a:xfrm>
        <a:prstGeom prst="rect">
          <a:avLst/>
        </a:prstGeom>
        <a:solidFill>
          <a:schemeClr val="bg1">
            <a:lumMod val="6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C" sz="1100"/>
        </a:p>
      </xdr:txBody>
    </xdr:sp>
    <xdr:clientData/>
  </xdr:twoCellAnchor>
  <xdr:twoCellAnchor editAs="oneCell">
    <xdr:from>
      <xdr:col>0</xdr:col>
      <xdr:colOff>0</xdr:colOff>
      <xdr:row>10</xdr:row>
      <xdr:rowOff>131432</xdr:rowOff>
    </xdr:from>
    <xdr:to>
      <xdr:col>3</xdr:col>
      <xdr:colOff>742950</xdr:colOff>
      <xdr:row>27</xdr:row>
      <xdr:rowOff>27308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9257"/>
          <a:ext cx="3028950" cy="2781951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571500</xdr:colOff>
      <xdr:row>9</xdr:row>
      <xdr:rowOff>160007</xdr:rowOff>
    </xdr:from>
    <xdr:to>
      <xdr:col>17</xdr:col>
      <xdr:colOff>552450</xdr:colOff>
      <xdr:row>26</xdr:row>
      <xdr:rowOff>55883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645907"/>
          <a:ext cx="3028950" cy="2781951"/>
        </a:xfrm>
        <a:prstGeom prst="rect">
          <a:avLst/>
        </a:prstGeom>
      </xdr:spPr>
    </xdr:pic>
    <xdr:clientData/>
  </xdr:twoCellAnchor>
  <xdr:twoCellAnchor editAs="oneCell">
    <xdr:from>
      <xdr:col>10</xdr:col>
      <xdr:colOff>428626</xdr:colOff>
      <xdr:row>11</xdr:row>
      <xdr:rowOff>151055</xdr:rowOff>
    </xdr:from>
    <xdr:to>
      <xdr:col>13</xdr:col>
      <xdr:colOff>524720</xdr:colOff>
      <xdr:row>23</xdr:row>
      <xdr:rowOff>1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3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6" y="1960805"/>
          <a:ext cx="2096344" cy="19253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B050"/>
  </sheetPr>
  <dimension ref="D3:N41"/>
  <sheetViews>
    <sheetView showGridLines="0" showRowColHeaders="0" tabSelected="1" zoomScale="98" zoomScaleNormal="98" zoomScaleSheetLayoutView="100" workbookViewId="0">
      <selection activeCell="R34" sqref="R34"/>
    </sheetView>
  </sheetViews>
  <sheetFormatPr baseColWidth="10" defaultRowHeight="12.75"/>
  <cols>
    <col min="1" max="1" width="11.42578125" style="42"/>
    <col min="2" max="2" width="12" style="42" customWidth="1"/>
    <col min="3" max="3" width="0.140625" style="42" customWidth="1"/>
    <col min="4" max="4" width="5.85546875" style="64" customWidth="1"/>
    <col min="5" max="5" width="14.7109375" style="42" customWidth="1"/>
    <col min="6" max="6" width="18.28515625" style="42" customWidth="1"/>
    <col min="7" max="7" width="3.7109375" style="42" customWidth="1"/>
    <col min="8" max="8" width="13.28515625" style="42" customWidth="1"/>
    <col min="9" max="9" width="2.140625" style="42" customWidth="1"/>
    <col min="10" max="11" width="11.42578125" style="42"/>
    <col min="12" max="12" width="4.7109375" style="59" customWidth="1"/>
    <col min="13" max="16384" width="11.42578125" style="42"/>
  </cols>
  <sheetData>
    <row r="3" spans="4:13">
      <c r="D3" s="436"/>
      <c r="E3" s="436"/>
      <c r="F3" s="436"/>
      <c r="G3" s="436"/>
      <c r="H3" s="436"/>
      <c r="I3" s="436"/>
      <c r="J3" s="436"/>
      <c r="K3" s="436"/>
      <c r="L3" s="436"/>
      <c r="M3" s="436"/>
    </row>
    <row r="4" spans="4:13">
      <c r="D4" s="436"/>
      <c r="E4" s="436"/>
      <c r="F4" s="436"/>
      <c r="G4" s="436"/>
      <c r="H4" s="436"/>
      <c r="I4" s="436"/>
      <c r="J4" s="436"/>
      <c r="K4" s="436"/>
      <c r="L4" s="436"/>
      <c r="M4" s="436"/>
    </row>
    <row r="5" spans="4:13">
      <c r="D5" s="436"/>
      <c r="E5" s="436"/>
      <c r="F5" s="436"/>
      <c r="G5" s="436"/>
      <c r="H5" s="436"/>
      <c r="I5" s="436"/>
      <c r="J5" s="436"/>
      <c r="K5" s="436"/>
      <c r="L5" s="436"/>
      <c r="M5" s="436"/>
    </row>
    <row r="6" spans="4:13">
      <c r="D6" s="436"/>
      <c r="E6" s="436"/>
      <c r="F6" s="436"/>
      <c r="G6" s="436"/>
      <c r="H6" s="436"/>
      <c r="I6" s="436"/>
      <c r="J6" s="436"/>
      <c r="K6" s="436"/>
      <c r="L6" s="436"/>
      <c r="M6" s="436"/>
    </row>
    <row r="8" spans="4:13" ht="13.5" thickBot="1"/>
    <row r="9" spans="4:13">
      <c r="E9" s="437" t="s">
        <v>204</v>
      </c>
      <c r="F9" s="438"/>
      <c r="G9" s="438"/>
      <c r="H9" s="438"/>
      <c r="I9" s="438"/>
      <c r="J9" s="438"/>
      <c r="K9" s="439"/>
    </row>
    <row r="10" spans="4:13">
      <c r="E10" s="440"/>
      <c r="F10" s="441"/>
      <c r="G10" s="441"/>
      <c r="H10" s="441"/>
      <c r="I10" s="441"/>
      <c r="J10" s="441"/>
      <c r="K10" s="442"/>
    </row>
    <row r="11" spans="4:13" ht="13.5" thickBot="1">
      <c r="E11" s="443"/>
      <c r="F11" s="444"/>
      <c r="G11" s="444"/>
      <c r="H11" s="444"/>
      <c r="I11" s="444"/>
      <c r="J11" s="444"/>
      <c r="K11" s="445"/>
    </row>
    <row r="12" spans="4:13" ht="13.5" thickBot="1">
      <c r="E12" s="44"/>
      <c r="F12" s="44"/>
      <c r="G12" s="44"/>
      <c r="H12" s="44"/>
      <c r="I12" s="44"/>
      <c r="J12" s="44"/>
      <c r="K12" s="45"/>
    </row>
    <row r="13" spans="4:13" ht="14.25" customHeight="1" thickBot="1">
      <c r="E13" s="409" t="s">
        <v>61</v>
      </c>
      <c r="F13" s="410"/>
      <c r="G13" s="46"/>
      <c r="H13" s="446" t="s">
        <v>23</v>
      </c>
      <c r="I13" s="447"/>
      <c r="J13" s="448"/>
      <c r="K13" s="68"/>
    </row>
    <row r="14" spans="4:13" ht="6" customHeight="1" thickBot="1">
      <c r="E14" s="47"/>
      <c r="F14" s="47"/>
      <c r="G14" s="46"/>
      <c r="H14" s="69"/>
      <c r="I14" s="69"/>
      <c r="J14" s="70"/>
      <c r="K14" s="68"/>
    </row>
    <row r="15" spans="4:13" ht="15" thickBot="1">
      <c r="E15" s="409" t="s">
        <v>100</v>
      </c>
      <c r="F15" s="410"/>
      <c r="G15" s="46"/>
      <c r="H15" s="112">
        <v>100</v>
      </c>
      <c r="I15" s="69"/>
      <c r="J15" s="434" t="s">
        <v>102</v>
      </c>
      <c r="K15" s="435"/>
    </row>
    <row r="16" spans="4:13" ht="8.25" customHeight="1">
      <c r="E16" s="47"/>
      <c r="F16" s="47"/>
      <c r="G16" s="46"/>
      <c r="H16" s="48"/>
      <c r="I16" s="48"/>
      <c r="J16" s="49"/>
      <c r="K16" s="50"/>
    </row>
    <row r="17" spans="5:14" ht="14.25">
      <c r="E17" s="409" t="s">
        <v>101</v>
      </c>
      <c r="F17" s="410"/>
      <c r="G17" s="46"/>
      <c r="H17" s="71">
        <f>H36</f>
        <v>50.4</v>
      </c>
      <c r="I17" s="48"/>
      <c r="J17" s="434" t="s">
        <v>103</v>
      </c>
      <c r="K17" s="435"/>
    </row>
    <row r="18" spans="5:14" ht="6.75" customHeight="1" thickBot="1">
      <c r="E18" s="409" t="s">
        <v>29</v>
      </c>
      <c r="F18" s="410"/>
      <c r="G18" s="51"/>
      <c r="H18" s="51"/>
      <c r="I18" s="51"/>
      <c r="J18" s="434" t="s">
        <v>24</v>
      </c>
      <c r="K18" s="435"/>
    </row>
    <row r="19" spans="5:14" ht="15" customHeight="1" thickBot="1">
      <c r="E19" s="409"/>
      <c r="F19" s="410"/>
      <c r="G19" s="52"/>
      <c r="H19" s="66">
        <v>1000</v>
      </c>
      <c r="I19" s="52"/>
      <c r="J19" s="434"/>
      <c r="K19" s="435"/>
    </row>
    <row r="20" spans="5:14" ht="6" customHeight="1">
      <c r="E20" s="409"/>
      <c r="F20" s="410"/>
      <c r="G20" s="52"/>
      <c r="H20" s="67"/>
      <c r="I20" s="52"/>
      <c r="J20" s="434"/>
      <c r="K20" s="435"/>
    </row>
    <row r="21" spans="5:14" ht="4.5" customHeight="1" thickBot="1">
      <c r="E21" s="409" t="s">
        <v>21</v>
      </c>
      <c r="F21" s="410"/>
      <c r="G21" s="52"/>
      <c r="H21" s="67"/>
      <c r="I21" s="52"/>
      <c r="J21" s="434" t="s">
        <v>25</v>
      </c>
      <c r="K21" s="435"/>
    </row>
    <row r="22" spans="5:14" ht="14.25" customHeight="1" thickBot="1">
      <c r="E22" s="409"/>
      <c r="F22" s="410"/>
      <c r="G22" s="52"/>
      <c r="H22" s="66">
        <v>3.7</v>
      </c>
      <c r="I22" s="52"/>
      <c r="J22" s="434"/>
      <c r="K22" s="435"/>
      <c r="L22" s="59">
        <f>TRUNC(H22)</f>
        <v>3</v>
      </c>
    </row>
    <row r="23" spans="5:14" ht="6" customHeight="1">
      <c r="E23" s="409"/>
      <c r="F23" s="410"/>
      <c r="G23" s="52"/>
      <c r="H23" s="52"/>
      <c r="I23" s="52"/>
      <c r="J23" s="434"/>
      <c r="K23" s="435"/>
      <c r="L23" s="59">
        <f>(H22-L22)</f>
        <v>0.70000000000000018</v>
      </c>
    </row>
    <row r="24" spans="5:14" ht="3" customHeight="1" thickBot="1">
      <c r="E24" s="47"/>
      <c r="F24" s="47"/>
      <c r="G24" s="429"/>
      <c r="H24" s="429"/>
      <c r="I24" s="429"/>
      <c r="J24" s="53"/>
      <c r="K24" s="50"/>
      <c r="L24" s="59">
        <f>(L23*100)+(L22*60)</f>
        <v>250</v>
      </c>
    </row>
    <row r="25" spans="5:14" ht="14.25" customHeight="1" thickBot="1">
      <c r="E25" s="409" t="s">
        <v>40</v>
      </c>
      <c r="F25" s="410"/>
      <c r="G25" s="52"/>
      <c r="H25" s="66">
        <v>188</v>
      </c>
      <c r="I25" s="52"/>
      <c r="J25" s="434" t="s">
        <v>41</v>
      </c>
      <c r="K25" s="435"/>
    </row>
    <row r="26" spans="5:14" ht="8.25" customHeight="1" thickBot="1">
      <c r="E26" s="47"/>
      <c r="F26" s="47"/>
      <c r="G26" s="52"/>
      <c r="H26" s="67"/>
      <c r="I26" s="52"/>
      <c r="J26" s="53"/>
      <c r="K26" s="50"/>
    </row>
    <row r="27" spans="5:14" ht="13.5" customHeight="1" thickBot="1">
      <c r="E27" s="409" t="s">
        <v>39</v>
      </c>
      <c r="F27" s="410"/>
      <c r="G27" s="52"/>
      <c r="H27" s="66">
        <v>100</v>
      </c>
      <c r="I27" s="52"/>
      <c r="J27" s="434" t="s">
        <v>24</v>
      </c>
      <c r="K27" s="435"/>
    </row>
    <row r="28" spans="5:14" ht="9" customHeight="1" thickBot="1">
      <c r="E28" s="54"/>
      <c r="F28" s="54"/>
      <c r="G28" s="55"/>
      <c r="H28" s="55"/>
      <c r="I28" s="55"/>
      <c r="J28" s="56"/>
      <c r="K28" s="57"/>
    </row>
    <row r="29" spans="5:14" ht="21" customHeight="1" thickBot="1">
      <c r="N29" s="43"/>
    </row>
    <row r="30" spans="5:14">
      <c r="E30" s="400" t="s">
        <v>124</v>
      </c>
      <c r="F30" s="401"/>
      <c r="G30" s="402"/>
      <c r="H30" s="430">
        <f>(H40)</f>
        <v>14.4</v>
      </c>
      <c r="I30" s="431"/>
      <c r="J30" s="431"/>
      <c r="K30" s="427" t="s">
        <v>19</v>
      </c>
      <c r="L30" s="60">
        <f>H30*3.5</f>
        <v>50.4</v>
      </c>
    </row>
    <row r="31" spans="5:14">
      <c r="E31" s="403"/>
      <c r="F31" s="404"/>
      <c r="G31" s="405"/>
      <c r="H31" s="432"/>
      <c r="I31" s="433"/>
      <c r="J31" s="433"/>
      <c r="K31" s="428"/>
    </row>
    <row r="32" spans="5:14" ht="13.5" thickBot="1">
      <c r="E32" s="406"/>
      <c r="F32" s="407"/>
      <c r="G32" s="408"/>
      <c r="H32" s="423">
        <f>H38</f>
        <v>4</v>
      </c>
      <c r="I32" s="424"/>
      <c r="J32" s="424"/>
      <c r="K32" s="58" t="s">
        <v>27</v>
      </c>
    </row>
    <row r="33" spans="4:11" ht="9.75" customHeight="1">
      <c r="E33" s="400" t="s">
        <v>125</v>
      </c>
      <c r="F33" s="401"/>
      <c r="G33" s="402"/>
      <c r="H33" s="417">
        <f>H27/H32</f>
        <v>25</v>
      </c>
      <c r="I33" s="418"/>
      <c r="J33" s="418"/>
      <c r="K33" s="427" t="s">
        <v>28</v>
      </c>
    </row>
    <row r="34" spans="4:11">
      <c r="E34" s="403"/>
      <c r="F34" s="404"/>
      <c r="G34" s="405"/>
      <c r="H34" s="425"/>
      <c r="I34" s="426"/>
      <c r="J34" s="426"/>
      <c r="K34" s="428"/>
    </row>
    <row r="35" spans="4:11" ht="3" customHeight="1" thickBot="1">
      <c r="E35" s="406"/>
      <c r="F35" s="407"/>
      <c r="G35" s="408"/>
      <c r="H35" s="425"/>
      <c r="I35" s="426"/>
      <c r="J35" s="426"/>
      <c r="K35" s="428"/>
    </row>
    <row r="36" spans="4:11" ht="3" customHeight="1">
      <c r="E36" s="411" t="s">
        <v>126</v>
      </c>
      <c r="F36" s="412"/>
      <c r="G36" s="413"/>
      <c r="H36" s="417">
        <f>L30</f>
        <v>50.4</v>
      </c>
      <c r="I36" s="418"/>
      <c r="J36" s="418"/>
      <c r="K36" s="421" t="s">
        <v>123</v>
      </c>
    </row>
    <row r="37" spans="4:11" ht="13.5" thickBot="1">
      <c r="E37" s="414"/>
      <c r="F37" s="415"/>
      <c r="G37" s="416"/>
      <c r="H37" s="419"/>
      <c r="I37" s="420"/>
      <c r="J37" s="420"/>
      <c r="K37" s="422"/>
    </row>
    <row r="38" spans="4:11" s="59" customFormat="1">
      <c r="D38" s="65"/>
      <c r="E38" s="61"/>
      <c r="F38" s="61"/>
      <c r="G38" s="61"/>
      <c r="H38" s="62">
        <f>(H19/L24)</f>
        <v>4</v>
      </c>
      <c r="J38" s="59" t="s">
        <v>26</v>
      </c>
    </row>
    <row r="39" spans="4:11" s="59" customFormat="1">
      <c r="D39" s="65"/>
      <c r="H39" s="63"/>
    </row>
    <row r="40" spans="4:11" s="59" customFormat="1">
      <c r="D40" s="65"/>
      <c r="H40" s="60">
        <f>(H38*3600)/1000</f>
        <v>14.4</v>
      </c>
    </row>
    <row r="41" spans="4:11" ht="25.5">
      <c r="E41" s="72"/>
    </row>
  </sheetData>
  <sheetProtection algorithmName="SHA-512" hashValue="Y/2Lt/QS8omNDGOro4rXf6liiLpOgkvwm60KSFza/uuVYQIWtYb17SzaDBXLwxdfnNLqFIjUnjMX10N56Uz/dA==" saltValue="aZYwQIr+zHT/WzOMBt2eFA==" spinCount="100000" sheet="1" objects="1" scenarios="1"/>
  <mergeCells count="27">
    <mergeCell ref="D3:M6"/>
    <mergeCell ref="E9:K11"/>
    <mergeCell ref="E18:F20"/>
    <mergeCell ref="J18:K20"/>
    <mergeCell ref="E21:F23"/>
    <mergeCell ref="J21:K23"/>
    <mergeCell ref="E13:F13"/>
    <mergeCell ref="E15:F15"/>
    <mergeCell ref="E17:F17"/>
    <mergeCell ref="J17:K17"/>
    <mergeCell ref="J15:K15"/>
    <mergeCell ref="H13:J13"/>
    <mergeCell ref="G24:I24"/>
    <mergeCell ref="H30:J31"/>
    <mergeCell ref="K30:K31"/>
    <mergeCell ref="E25:F25"/>
    <mergeCell ref="J27:K27"/>
    <mergeCell ref="J25:K25"/>
    <mergeCell ref="E30:G32"/>
    <mergeCell ref="E33:G35"/>
    <mergeCell ref="E27:F27"/>
    <mergeCell ref="E36:G37"/>
    <mergeCell ref="H36:J37"/>
    <mergeCell ref="K36:K37"/>
    <mergeCell ref="H32:J32"/>
    <mergeCell ref="H33:J35"/>
    <mergeCell ref="K33:K35"/>
  </mergeCells>
  <dataValidations count="2">
    <dataValidation allowBlank="1" showInputMessage="1" showErrorMessage="1" promptTitle="Sr. Usuario" prompt="Por favor ingrese el nombre del deportista._x000a__x000a_Atentamente:_x000a_Jimmy Intriago._x000a_" sqref="H13:J13"/>
    <dataValidation allowBlank="1" showInputMessage="1" showErrorMessage="1" promptTitle="Sr. Usuario" prompt="Por favor ingrese el dato correspondiente._x000a__x000a_Atentamente:_x000a_Jimmy Intriago._x000a_" sqref="H15 H19 H22 H25 H27"/>
  </dataValidations>
  <pageMargins left="0.23622047244094491" right="0.23622047244094491" top="0.74803149606299213" bottom="0.74803149606299213" header="0.31496062992125984" footer="0.31496062992125984"/>
  <pageSetup paperSize="8" orientation="landscape" horizontalDpi="4294967293" verticalDpi="4294967293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0000"/>
  </sheetPr>
  <dimension ref="A2:K32"/>
  <sheetViews>
    <sheetView showGridLines="0" showRowColHeaders="0" zoomScaleSheetLayoutView="100" workbookViewId="0"/>
  </sheetViews>
  <sheetFormatPr baseColWidth="10" defaultRowHeight="12.75"/>
  <cols>
    <col min="1" max="1" width="11.42578125" style="75"/>
    <col min="2" max="2" width="37.7109375" style="75" customWidth="1"/>
    <col min="3" max="3" width="6.5703125" style="75" customWidth="1"/>
    <col min="4" max="4" width="15.5703125" style="75" customWidth="1"/>
    <col min="5" max="7" width="11.42578125" style="75"/>
    <col min="8" max="8" width="12.28515625" style="75" customWidth="1"/>
    <col min="9" max="9" width="13.42578125" style="75" customWidth="1"/>
    <col min="10" max="16384" width="11.42578125" style="75"/>
  </cols>
  <sheetData>
    <row r="2" spans="1:11">
      <c r="D2" s="76"/>
    </row>
    <row r="3" spans="1:11">
      <c r="B3" s="77"/>
      <c r="C3" s="77"/>
    </row>
    <row r="4" spans="1:11">
      <c r="B4" s="77"/>
      <c r="C4" s="77"/>
    </row>
    <row r="5" spans="1:11">
      <c r="B5" s="77"/>
      <c r="C5" s="77"/>
    </row>
    <row r="6" spans="1:11" ht="16.5">
      <c r="A6" s="449" t="s">
        <v>127</v>
      </c>
      <c r="B6" s="449"/>
      <c r="C6" s="449"/>
      <c r="D6" s="78">
        <v>200</v>
      </c>
      <c r="E6" s="75" t="s">
        <v>92</v>
      </c>
    </row>
    <row r="7" spans="1:11">
      <c r="B7" s="77"/>
      <c r="C7" s="77"/>
    </row>
    <row r="8" spans="1:11">
      <c r="B8" s="77"/>
      <c r="C8" s="77"/>
      <c r="D8" s="113"/>
      <c r="E8" s="113"/>
      <c r="F8" s="113"/>
      <c r="G8" s="113"/>
      <c r="H8" s="113"/>
      <c r="I8" s="113"/>
      <c r="J8" s="113"/>
      <c r="K8" s="113"/>
    </row>
    <row r="9" spans="1:11">
      <c r="D9" s="113"/>
      <c r="E9" s="113"/>
      <c r="F9" s="113"/>
      <c r="G9" s="113"/>
      <c r="H9" s="113"/>
      <c r="I9" s="113"/>
      <c r="J9" s="113"/>
      <c r="K9" s="113"/>
    </row>
    <row r="10" spans="1:11">
      <c r="D10" s="113"/>
      <c r="E10" s="113"/>
      <c r="F10" s="113"/>
      <c r="G10" s="113"/>
      <c r="H10" s="113"/>
      <c r="I10" s="113"/>
      <c r="J10" s="113"/>
      <c r="K10" s="113"/>
    </row>
    <row r="11" spans="1:11">
      <c r="D11" s="113"/>
      <c r="E11" s="113"/>
      <c r="F11" s="113"/>
      <c r="G11" s="113"/>
      <c r="H11" s="113"/>
      <c r="I11" s="113"/>
      <c r="J11" s="113"/>
      <c r="K11" s="113"/>
    </row>
    <row r="12" spans="1:11" ht="15">
      <c r="D12" s="113"/>
      <c r="E12" s="113"/>
      <c r="F12" s="113"/>
      <c r="G12" s="113"/>
      <c r="H12" s="113"/>
      <c r="I12" s="114">
        <f>D6</f>
        <v>200</v>
      </c>
      <c r="J12" s="114" t="s">
        <v>206</v>
      </c>
      <c r="K12" s="113"/>
    </row>
    <row r="13" spans="1:11">
      <c r="D13" s="113"/>
      <c r="E13" s="113"/>
      <c r="F13" s="113"/>
      <c r="G13" s="113"/>
      <c r="H13" s="113"/>
      <c r="I13" s="113"/>
      <c r="J13" s="113"/>
      <c r="K13" s="113"/>
    </row>
    <row r="14" spans="1:11">
      <c r="D14" s="113"/>
      <c r="E14" s="113"/>
      <c r="F14" s="113"/>
      <c r="G14" s="113"/>
      <c r="H14" s="113"/>
      <c r="I14" s="113"/>
      <c r="J14" s="113"/>
      <c r="K14" s="113"/>
    </row>
    <row r="15" spans="1:11">
      <c r="D15" s="113"/>
      <c r="E15" s="113"/>
      <c r="F15" s="113"/>
      <c r="G15" s="113"/>
      <c r="H15" s="113"/>
      <c r="I15" s="113"/>
      <c r="J15" s="113"/>
      <c r="K15" s="113"/>
    </row>
    <row r="16" spans="1:11" ht="15">
      <c r="D16" s="113"/>
      <c r="E16" s="113"/>
      <c r="F16" s="113"/>
      <c r="G16" s="115" t="s">
        <v>205</v>
      </c>
      <c r="H16" s="116">
        <f>(D6/6.2832)</f>
        <v>31.830914183855359</v>
      </c>
      <c r="I16" s="114" t="s">
        <v>53</v>
      </c>
      <c r="J16" s="113"/>
      <c r="K16" s="113"/>
    </row>
    <row r="17" spans="2:11">
      <c r="D17" s="113"/>
      <c r="E17" s="113"/>
      <c r="F17" s="113"/>
      <c r="G17" s="113"/>
      <c r="H17" s="113"/>
      <c r="I17" s="113"/>
      <c r="J17" s="113"/>
      <c r="K17" s="113"/>
    </row>
    <row r="18" spans="2:11">
      <c r="D18" s="113"/>
      <c r="E18" s="113"/>
      <c r="F18" s="113"/>
      <c r="G18" s="113"/>
      <c r="H18" s="113"/>
      <c r="I18" s="113"/>
      <c r="J18" s="113"/>
      <c r="K18" s="113"/>
    </row>
    <row r="19" spans="2:11">
      <c r="D19" s="113"/>
      <c r="E19" s="113"/>
      <c r="F19" s="113"/>
      <c r="G19" s="113"/>
      <c r="H19" s="113"/>
      <c r="I19" s="113"/>
      <c r="J19" s="113"/>
      <c r="K19" s="113"/>
    </row>
    <row r="20" spans="2:11">
      <c r="D20" s="113"/>
      <c r="E20" s="113"/>
      <c r="F20" s="113"/>
      <c r="G20" s="113"/>
      <c r="H20" s="113"/>
      <c r="I20" s="113"/>
      <c r="J20" s="113"/>
      <c r="K20" s="113"/>
    </row>
    <row r="21" spans="2:11">
      <c r="D21" s="113"/>
      <c r="E21" s="113"/>
      <c r="F21" s="113"/>
      <c r="G21" s="113"/>
      <c r="H21" s="113"/>
      <c r="I21" s="113"/>
      <c r="J21" s="113"/>
      <c r="K21" s="113"/>
    </row>
    <row r="22" spans="2:11">
      <c r="D22" s="113"/>
      <c r="E22" s="113"/>
      <c r="F22" s="113"/>
      <c r="G22" s="113"/>
      <c r="H22" s="113"/>
      <c r="I22" s="113"/>
      <c r="J22" s="113"/>
      <c r="K22" s="113"/>
    </row>
    <row r="23" spans="2:11">
      <c r="D23" s="113"/>
      <c r="E23" s="113"/>
      <c r="F23" s="113"/>
      <c r="G23" s="113"/>
      <c r="H23" s="113"/>
      <c r="I23" s="113"/>
      <c r="J23" s="113"/>
      <c r="K23" s="113"/>
    </row>
    <row r="24" spans="2:11">
      <c r="D24" s="113"/>
      <c r="E24" s="113"/>
      <c r="F24" s="113"/>
      <c r="G24" s="113"/>
      <c r="H24" s="113"/>
      <c r="I24" s="113"/>
      <c r="J24" s="113"/>
      <c r="K24" s="113"/>
    </row>
    <row r="25" spans="2:11">
      <c r="D25" s="113"/>
      <c r="E25" s="113"/>
      <c r="F25" s="113"/>
      <c r="G25" s="113"/>
      <c r="H25" s="113"/>
      <c r="I25" s="113"/>
      <c r="J25" s="113"/>
      <c r="K25" s="113"/>
    </row>
    <row r="26" spans="2:11">
      <c r="D26" s="113"/>
      <c r="E26" s="113"/>
      <c r="F26" s="113"/>
      <c r="G26" s="113"/>
      <c r="H26" s="113"/>
      <c r="I26" s="113"/>
      <c r="J26" s="113"/>
      <c r="K26" s="113"/>
    </row>
    <row r="27" spans="2:11" ht="18.75">
      <c r="D27" s="113"/>
      <c r="E27" s="113"/>
      <c r="F27" s="113"/>
      <c r="G27" s="117">
        <f>(H16*2)</f>
        <v>63.661828367710719</v>
      </c>
      <c r="H27" s="118" t="s">
        <v>92</v>
      </c>
      <c r="I27" s="113"/>
      <c r="J27" s="113"/>
      <c r="K27" s="113"/>
    </row>
    <row r="28" spans="2:11">
      <c r="D28" s="113"/>
      <c r="E28" s="113"/>
      <c r="F28" s="113"/>
      <c r="G28" s="113"/>
      <c r="H28" s="113"/>
      <c r="I28" s="113"/>
      <c r="J28" s="113"/>
      <c r="K28" s="113"/>
    </row>
    <row r="29" spans="2:11">
      <c r="D29" s="113"/>
      <c r="E29" s="113"/>
      <c r="F29" s="113"/>
      <c r="G29" s="113"/>
      <c r="H29" s="113"/>
      <c r="I29" s="113"/>
      <c r="J29" s="113"/>
      <c r="K29" s="113"/>
    </row>
    <row r="30" spans="2:11">
      <c r="D30" s="113"/>
      <c r="E30" s="113"/>
      <c r="F30" s="113"/>
      <c r="G30" s="113"/>
      <c r="H30" s="113"/>
      <c r="I30" s="113"/>
      <c r="J30" s="113"/>
      <c r="K30" s="113"/>
    </row>
    <row r="31" spans="2:11">
      <c r="D31" s="113"/>
      <c r="E31" s="113"/>
      <c r="F31" s="113"/>
      <c r="G31" s="113"/>
      <c r="H31" s="113"/>
      <c r="I31" s="113"/>
      <c r="J31" s="113"/>
      <c r="K31" s="113"/>
    </row>
    <row r="32" spans="2:11" ht="25.5">
      <c r="B32" s="80"/>
      <c r="D32" s="113"/>
      <c r="E32" s="113"/>
      <c r="F32" s="113"/>
      <c r="G32" s="113"/>
      <c r="H32" s="113"/>
      <c r="I32" s="113"/>
      <c r="J32" s="113"/>
      <c r="K32" s="113"/>
    </row>
  </sheetData>
  <sheetProtection algorithmName="SHA-512" hashValue="BhcNFI41IsSc73xBFUcIfpgmqYjjQmlT87D0jL8k5ktA+uQp3DBJyZJmX7lp0wIn9Ba0z4MHQ9OivM8kuhLjKA==" saltValue="v8RfNHiUR2V8tcCHnhBYlQ==" spinCount="100000" sheet="1" objects="1" scenarios="1"/>
  <mergeCells count="1">
    <mergeCell ref="A6:C6"/>
  </mergeCells>
  <dataValidations count="1">
    <dataValidation allowBlank="1" showInputMessage="1" showErrorMessage="1" promptTitle="Sr. Usuario" prompt="Por favor ingrese la distancia que usted desea realizar la vuelta._x000a__x000a_Atentamente:_x000a_Jimmy Intriago._x000a__x000a_" sqref="D6"/>
  </dataValidations>
  <pageMargins left="0.7" right="0.7" top="0.75" bottom="0.75" header="0.3" footer="0.3"/>
  <pageSetup paperSize="8" orientation="landscape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3DF61E"/>
  </sheetPr>
  <dimension ref="A3:AX69"/>
  <sheetViews>
    <sheetView showGridLines="0" showRowColHeaders="0" topLeftCell="A10" zoomScale="110" zoomScaleNormal="110" workbookViewId="0"/>
  </sheetViews>
  <sheetFormatPr baseColWidth="10" defaultRowHeight="12.75"/>
  <cols>
    <col min="1" max="1" width="5.28515625" style="91" customWidth="1"/>
    <col min="2" max="2" width="6" style="81" customWidth="1"/>
    <col min="3" max="3" width="18.85546875" style="81" customWidth="1"/>
    <col min="4" max="4" width="15.28515625" style="81" customWidth="1"/>
    <col min="5" max="5" width="11.42578125" style="81"/>
    <col min="6" max="17" width="6.7109375" style="81" customWidth="1"/>
    <col min="18" max="18" width="11.7109375" style="81" customWidth="1"/>
    <col min="19" max="19" width="5.7109375" style="81" customWidth="1"/>
    <col min="20" max="21" width="5.7109375" style="91" customWidth="1"/>
    <col min="22" max="22" width="6.140625" style="91" customWidth="1"/>
    <col min="23" max="23" width="6.5703125" style="91" customWidth="1"/>
    <col min="24" max="30" width="5.7109375" style="81" customWidth="1"/>
    <col min="31" max="16384" width="11.42578125" style="81"/>
  </cols>
  <sheetData>
    <row r="3" spans="1:50">
      <c r="Y3" s="82"/>
      <c r="Z3" s="82"/>
      <c r="AA3" s="82"/>
    </row>
    <row r="4" spans="1:50"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92" t="s">
        <v>20</v>
      </c>
      <c r="U4" s="92"/>
      <c r="V4" s="93">
        <f>'.'!H19</f>
        <v>1000</v>
      </c>
      <c r="W4" s="94" t="s">
        <v>22</v>
      </c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</row>
    <row r="5" spans="1:50">
      <c r="D5" s="83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92"/>
      <c r="U5" s="92"/>
      <c r="V5" s="94"/>
      <c r="W5" s="94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</row>
    <row r="6" spans="1:50"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92" t="s">
        <v>21</v>
      </c>
      <c r="U6" s="92"/>
      <c r="V6" s="95">
        <f>'.'!H22</f>
        <v>3.7</v>
      </c>
      <c r="W6" s="96">
        <f>TRUNC(V6)</f>
        <v>3</v>
      </c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</row>
    <row r="7" spans="1:50">
      <c r="D7" s="83"/>
      <c r="E7" s="502"/>
      <c r="F7" s="502"/>
      <c r="G7" s="502"/>
      <c r="H7" s="502"/>
      <c r="I7" s="502"/>
      <c r="J7" s="502"/>
      <c r="K7" s="83"/>
      <c r="L7" s="83"/>
      <c r="M7" s="83"/>
      <c r="N7" s="83"/>
      <c r="O7" s="83"/>
      <c r="P7" s="83"/>
      <c r="Q7" s="83"/>
      <c r="R7" s="83"/>
      <c r="S7" s="83"/>
      <c r="T7" s="92" t="s">
        <v>0</v>
      </c>
      <c r="U7" s="92" t="s">
        <v>6</v>
      </c>
      <c r="V7" s="96"/>
      <c r="W7" s="96">
        <f>(V6-W6)</f>
        <v>0.70000000000000018</v>
      </c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</row>
    <row r="8" spans="1:50">
      <c r="D8" s="83"/>
      <c r="E8" s="83"/>
      <c r="F8" s="83"/>
      <c r="G8" s="83"/>
      <c r="H8" s="83"/>
      <c r="I8" s="83"/>
      <c r="J8" s="83"/>
      <c r="K8" s="490"/>
      <c r="L8" s="490"/>
      <c r="M8" s="490"/>
      <c r="N8" s="490"/>
      <c r="O8" s="83"/>
      <c r="P8" s="83"/>
      <c r="Q8" s="83"/>
      <c r="R8" s="83"/>
      <c r="S8" s="83"/>
      <c r="T8" s="92"/>
      <c r="U8" s="92"/>
      <c r="V8" s="95">
        <f>(V4/W8)</f>
        <v>4</v>
      </c>
      <c r="W8" s="96">
        <f>(W7*100)+(W6*60)</f>
        <v>250</v>
      </c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</row>
    <row r="9" spans="1:50" ht="26.25" thickBot="1">
      <c r="D9" s="100" t="s">
        <v>0</v>
      </c>
      <c r="E9" s="101">
        <f>V10</f>
        <v>14.4</v>
      </c>
      <c r="F9" s="102" t="s">
        <v>19</v>
      </c>
      <c r="G9" s="496"/>
      <c r="H9" s="497"/>
      <c r="I9" s="497"/>
      <c r="J9" s="497"/>
      <c r="K9" s="497"/>
      <c r="L9" s="84"/>
      <c r="M9" s="84"/>
      <c r="N9" s="84"/>
      <c r="O9" s="84"/>
      <c r="P9" s="84"/>
      <c r="Q9" s="84"/>
      <c r="R9" s="84"/>
      <c r="S9" s="84"/>
      <c r="T9" s="92" t="s">
        <v>0</v>
      </c>
      <c r="U9" s="97" t="s">
        <v>19</v>
      </c>
      <c r="V9" s="94"/>
      <c r="W9" s="94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</row>
    <row r="10" spans="1:50" ht="15">
      <c r="B10" s="498" t="s">
        <v>35</v>
      </c>
      <c r="C10" s="456" t="s">
        <v>130</v>
      </c>
      <c r="D10" s="456" t="s">
        <v>131</v>
      </c>
      <c r="E10" s="491" t="s">
        <v>132</v>
      </c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2"/>
      <c r="T10" s="92"/>
      <c r="U10" s="92"/>
      <c r="V10" s="95">
        <f>(V8*3.6)</f>
        <v>14.4</v>
      </c>
      <c r="W10" s="94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</row>
    <row r="11" spans="1:50" ht="12.75" hidden="1" customHeight="1">
      <c r="B11" s="499"/>
      <c r="C11" s="457"/>
      <c r="D11" s="457"/>
      <c r="E11" s="86" t="s">
        <v>18</v>
      </c>
      <c r="F11" s="86" t="s">
        <v>19</v>
      </c>
      <c r="G11" s="87" t="s">
        <v>6</v>
      </c>
      <c r="H11" s="88" t="s">
        <v>7</v>
      </c>
      <c r="I11" s="88" t="s">
        <v>8</v>
      </c>
      <c r="J11" s="88" t="s">
        <v>9</v>
      </c>
      <c r="K11" s="88" t="s">
        <v>10</v>
      </c>
      <c r="L11" s="88" t="s">
        <v>11</v>
      </c>
      <c r="M11" s="88" t="s">
        <v>12</v>
      </c>
      <c r="N11" s="88" t="s">
        <v>13</v>
      </c>
      <c r="O11" s="88" t="s">
        <v>14</v>
      </c>
      <c r="P11" s="88" t="s">
        <v>15</v>
      </c>
      <c r="Q11" s="88" t="s">
        <v>16</v>
      </c>
      <c r="R11" s="88" t="s">
        <v>17</v>
      </c>
      <c r="S11" s="493" t="s">
        <v>210</v>
      </c>
      <c r="T11" s="94"/>
      <c r="U11" s="94"/>
      <c r="V11" s="94"/>
      <c r="W11" s="94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</row>
    <row r="12" spans="1:50" ht="13.5" customHeight="1" thickBot="1">
      <c r="B12" s="500"/>
      <c r="C12" s="458"/>
      <c r="D12" s="458"/>
      <c r="E12" s="89" t="s">
        <v>207</v>
      </c>
      <c r="F12" s="89" t="s">
        <v>5</v>
      </c>
      <c r="G12" s="89" t="s">
        <v>209</v>
      </c>
      <c r="H12" s="89">
        <v>200</v>
      </c>
      <c r="I12" s="89">
        <v>300</v>
      </c>
      <c r="J12" s="89">
        <v>400</v>
      </c>
      <c r="K12" s="89">
        <v>500</v>
      </c>
      <c r="L12" s="89">
        <v>600</v>
      </c>
      <c r="M12" s="89">
        <v>700</v>
      </c>
      <c r="N12" s="89">
        <v>800</v>
      </c>
      <c r="O12" s="89">
        <v>900</v>
      </c>
      <c r="P12" s="89">
        <v>1000</v>
      </c>
      <c r="Q12" s="89">
        <v>1100</v>
      </c>
      <c r="R12" s="90">
        <v>1100</v>
      </c>
      <c r="S12" s="493"/>
      <c r="T12" s="94"/>
      <c r="U12" s="94"/>
      <c r="V12" s="94"/>
      <c r="W12" s="94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</row>
    <row r="13" spans="1:50" ht="16.5" customHeight="1">
      <c r="B13" s="119">
        <f>B14-A16</f>
        <v>121.72999999999999</v>
      </c>
      <c r="C13" s="463" t="s">
        <v>30</v>
      </c>
      <c r="D13" s="475" t="s">
        <v>129</v>
      </c>
      <c r="E13" s="120" t="s">
        <v>141</v>
      </c>
      <c r="F13" s="121">
        <f>($E$9*0.4)</f>
        <v>5.7600000000000007</v>
      </c>
      <c r="G13" s="121">
        <f t="shared" ref="G13:G36" si="0">(F13/3.6)</f>
        <v>1.6</v>
      </c>
      <c r="H13" s="122">
        <f>($H$12/G13)/86400</f>
        <v>1.4467592592592592E-3</v>
      </c>
      <c r="I13" s="122">
        <f>($I$12/G13)/86400</f>
        <v>2.170138888888889E-3</v>
      </c>
      <c r="J13" s="122">
        <f>($J$12/G13)/86400</f>
        <v>2.8935185185185184E-3</v>
      </c>
      <c r="K13" s="122">
        <f>($K$12/G13)/86400</f>
        <v>3.6168981481481482E-3</v>
      </c>
      <c r="L13" s="122">
        <f>($L$12/G13)/86400</f>
        <v>4.340277777777778E-3</v>
      </c>
      <c r="M13" s="123">
        <f>($M$12/G13)/86400</f>
        <v>5.0636574074074073E-3</v>
      </c>
      <c r="N13" s="122">
        <f>($N$12/G13)/86400</f>
        <v>5.7870370370370367E-3</v>
      </c>
      <c r="O13" s="122">
        <f>($O$12/G13)/86400</f>
        <v>6.510416666666667E-3</v>
      </c>
      <c r="P13" s="122">
        <f>($P$12/G13)/86400</f>
        <v>7.2337962962962963E-3</v>
      </c>
      <c r="Q13" s="122">
        <f>($Q$12/G13)/86400</f>
        <v>7.9571759259259266E-3</v>
      </c>
      <c r="R13" s="124">
        <f>($R$12/G13)/86400</f>
        <v>7.9571759259259266E-3</v>
      </c>
      <c r="S13" s="494"/>
      <c r="T13" s="94"/>
      <c r="U13" s="94"/>
      <c r="V13" s="94"/>
      <c r="W13" s="94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</row>
    <row r="14" spans="1:50">
      <c r="B14" s="125">
        <f>B15-A16</f>
        <v>125.02</v>
      </c>
      <c r="C14" s="464"/>
      <c r="D14" s="476"/>
      <c r="E14" s="126" t="s">
        <v>142</v>
      </c>
      <c r="F14" s="127">
        <f>($E$9*0.45)</f>
        <v>6.48</v>
      </c>
      <c r="G14" s="127">
        <f t="shared" si="0"/>
        <v>1.8</v>
      </c>
      <c r="H14" s="128">
        <f t="shared" ref="H14:H36" si="1">($H$12/G14)/86400</f>
        <v>1.2860082304526749E-3</v>
      </c>
      <c r="I14" s="128">
        <f t="shared" ref="I14:I36" si="2">($I$12/G14)/86400</f>
        <v>1.9290123456790122E-3</v>
      </c>
      <c r="J14" s="128">
        <f t="shared" ref="J14:J36" si="3">($J$12/G14)/86400</f>
        <v>2.5720164609053498E-3</v>
      </c>
      <c r="K14" s="128">
        <f t="shared" ref="K14:K36" si="4">($K$12/G14)/86400</f>
        <v>3.2150205761316874E-3</v>
      </c>
      <c r="L14" s="128">
        <f t="shared" ref="L14:L36" si="5">($L$12/G14)/86400</f>
        <v>3.8580246913580245E-3</v>
      </c>
      <c r="M14" s="129">
        <f t="shared" ref="M14:M36" si="6">($M$12/G14)/86400</f>
        <v>4.5010288065843616E-3</v>
      </c>
      <c r="N14" s="128">
        <f t="shared" ref="N14:N36" si="7">($N$12/G14)/86400</f>
        <v>5.1440329218106996E-3</v>
      </c>
      <c r="O14" s="128">
        <f t="shared" ref="O14:O36" si="8">($O$12/G14)/86400</f>
        <v>5.7870370370370367E-3</v>
      </c>
      <c r="P14" s="128">
        <f t="shared" ref="P14:P36" si="9">($P$12/G14)/86400</f>
        <v>6.4300411522633747E-3</v>
      </c>
      <c r="Q14" s="128">
        <f t="shared" ref="Q14:Q36" si="10">($Q$12/G14)/86400</f>
        <v>7.0730452674897118E-3</v>
      </c>
      <c r="R14" s="130">
        <f t="shared" ref="R14:R36" si="11">($R$12/G14)/86400</f>
        <v>7.0730452674897118E-3</v>
      </c>
      <c r="S14" s="494"/>
      <c r="T14" s="94"/>
      <c r="U14" s="94"/>
      <c r="V14" s="94"/>
      <c r="W14" s="94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</row>
    <row r="15" spans="1:50">
      <c r="B15" s="125">
        <f>B16-A16</f>
        <v>128.31</v>
      </c>
      <c r="C15" s="464"/>
      <c r="D15" s="476"/>
      <c r="E15" s="126" t="s">
        <v>143</v>
      </c>
      <c r="F15" s="127">
        <f>($E$9*0.48)</f>
        <v>6.9119999999999999</v>
      </c>
      <c r="G15" s="127">
        <f t="shared" si="0"/>
        <v>1.92</v>
      </c>
      <c r="H15" s="128">
        <f t="shared" si="1"/>
        <v>1.2056327160493829E-3</v>
      </c>
      <c r="I15" s="128">
        <f t="shared" si="2"/>
        <v>1.8084490740740741E-3</v>
      </c>
      <c r="J15" s="128">
        <f t="shared" si="3"/>
        <v>2.4112654320987657E-3</v>
      </c>
      <c r="K15" s="128">
        <f t="shared" si="4"/>
        <v>3.0140817901234572E-3</v>
      </c>
      <c r="L15" s="128">
        <f t="shared" si="5"/>
        <v>3.6168981481481482E-3</v>
      </c>
      <c r="M15" s="129">
        <f t="shared" si="6"/>
        <v>4.21971450617284E-3</v>
      </c>
      <c r="N15" s="128">
        <f t="shared" si="7"/>
        <v>4.8225308641975315E-3</v>
      </c>
      <c r="O15" s="128">
        <f t="shared" si="8"/>
        <v>5.425347222222222E-3</v>
      </c>
      <c r="P15" s="128">
        <f t="shared" si="9"/>
        <v>6.0281635802469143E-3</v>
      </c>
      <c r="Q15" s="128">
        <f t="shared" si="10"/>
        <v>6.6309799382716058E-3</v>
      </c>
      <c r="R15" s="130">
        <f t="shared" si="11"/>
        <v>6.6309799382716058E-3</v>
      </c>
      <c r="S15" s="494"/>
      <c r="T15" s="94"/>
      <c r="U15" s="94"/>
      <c r="V15" s="94"/>
      <c r="W15" s="94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</row>
    <row r="16" spans="1:50" ht="13.5" thickBot="1">
      <c r="A16" s="91">
        <f>B16*0.025</f>
        <v>3.29</v>
      </c>
      <c r="B16" s="131">
        <f>'-'!C28</f>
        <v>131.6</v>
      </c>
      <c r="C16" s="465"/>
      <c r="D16" s="477"/>
      <c r="E16" s="132" t="s">
        <v>144</v>
      </c>
      <c r="F16" s="133">
        <f>($E$9*0.5)</f>
        <v>7.2</v>
      </c>
      <c r="G16" s="133">
        <f t="shared" si="0"/>
        <v>2</v>
      </c>
      <c r="H16" s="134">
        <f t="shared" si="1"/>
        <v>1.1574074074074073E-3</v>
      </c>
      <c r="I16" s="134">
        <f t="shared" si="2"/>
        <v>1.736111111111111E-3</v>
      </c>
      <c r="J16" s="134">
        <f t="shared" si="3"/>
        <v>2.3148148148148147E-3</v>
      </c>
      <c r="K16" s="134">
        <f t="shared" si="4"/>
        <v>2.8935185185185184E-3</v>
      </c>
      <c r="L16" s="134">
        <f t="shared" si="5"/>
        <v>3.472222222222222E-3</v>
      </c>
      <c r="M16" s="135">
        <f t="shared" si="6"/>
        <v>4.0509259259259257E-3</v>
      </c>
      <c r="N16" s="134">
        <f t="shared" si="7"/>
        <v>4.6296296296296294E-3</v>
      </c>
      <c r="O16" s="134">
        <f t="shared" si="8"/>
        <v>5.208333333333333E-3</v>
      </c>
      <c r="P16" s="134">
        <f t="shared" si="9"/>
        <v>5.7870370370370367E-3</v>
      </c>
      <c r="Q16" s="134">
        <f t="shared" si="10"/>
        <v>6.3657407407407404E-3</v>
      </c>
      <c r="R16" s="136">
        <f t="shared" si="11"/>
        <v>6.3657407407407404E-3</v>
      </c>
      <c r="S16" s="494"/>
      <c r="T16" s="98"/>
      <c r="U16" s="94"/>
      <c r="V16" s="94"/>
      <c r="W16" s="94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</row>
    <row r="17" spans="1:50">
      <c r="B17" s="137">
        <f>B16+A16</f>
        <v>134.88999999999999</v>
      </c>
      <c r="C17" s="466" t="s">
        <v>128</v>
      </c>
      <c r="D17" s="481" t="s">
        <v>1</v>
      </c>
      <c r="E17" s="138" t="s">
        <v>145</v>
      </c>
      <c r="F17" s="139">
        <f>($E$9*0.55)</f>
        <v>7.9200000000000008</v>
      </c>
      <c r="G17" s="139">
        <f t="shared" si="0"/>
        <v>2.2000000000000002</v>
      </c>
      <c r="H17" s="140">
        <f t="shared" si="1"/>
        <v>1.0521885521885522E-3</v>
      </c>
      <c r="I17" s="140">
        <f t="shared" si="2"/>
        <v>1.578282828282828E-3</v>
      </c>
      <c r="J17" s="140">
        <f t="shared" si="3"/>
        <v>2.1043771043771043E-3</v>
      </c>
      <c r="K17" s="140">
        <f t="shared" si="4"/>
        <v>2.6304713804713802E-3</v>
      </c>
      <c r="L17" s="140">
        <f t="shared" si="5"/>
        <v>3.1565656565656561E-3</v>
      </c>
      <c r="M17" s="141">
        <f t="shared" si="6"/>
        <v>3.6826599326599319E-3</v>
      </c>
      <c r="N17" s="140">
        <f t="shared" si="7"/>
        <v>4.2087542087542087E-3</v>
      </c>
      <c r="O17" s="140">
        <f t="shared" si="8"/>
        <v>4.734848484848485E-3</v>
      </c>
      <c r="P17" s="140">
        <f t="shared" si="9"/>
        <v>5.2609427609427604E-3</v>
      </c>
      <c r="Q17" s="140">
        <f t="shared" si="10"/>
        <v>5.7870370370370367E-3</v>
      </c>
      <c r="R17" s="142">
        <f t="shared" si="11"/>
        <v>5.7870370370370367E-3</v>
      </c>
      <c r="S17" s="493"/>
      <c r="T17" s="94"/>
      <c r="U17" s="94"/>
      <c r="V17" s="94"/>
      <c r="W17" s="94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</row>
    <row r="18" spans="1:50">
      <c r="B18" s="143">
        <f>B17+A16</f>
        <v>138.17999999999998</v>
      </c>
      <c r="C18" s="467"/>
      <c r="D18" s="482"/>
      <c r="E18" s="144" t="s">
        <v>146</v>
      </c>
      <c r="F18" s="145">
        <f>($E$9*0.6)</f>
        <v>8.64</v>
      </c>
      <c r="G18" s="145">
        <f t="shared" si="0"/>
        <v>2.4</v>
      </c>
      <c r="H18" s="146">
        <f t="shared" si="1"/>
        <v>9.6450617283950634E-4</v>
      </c>
      <c r="I18" s="146">
        <f t="shared" si="2"/>
        <v>1.4467592592592592E-3</v>
      </c>
      <c r="J18" s="146">
        <f t="shared" si="3"/>
        <v>1.9290123456790127E-3</v>
      </c>
      <c r="K18" s="146">
        <f t="shared" si="4"/>
        <v>2.4112654320987657E-3</v>
      </c>
      <c r="L18" s="146">
        <f t="shared" si="5"/>
        <v>2.8935185185185184E-3</v>
      </c>
      <c r="M18" s="147">
        <f t="shared" si="6"/>
        <v>3.3757716049382719E-3</v>
      </c>
      <c r="N18" s="146">
        <f t="shared" si="7"/>
        <v>3.8580246913580253E-3</v>
      </c>
      <c r="O18" s="146">
        <f t="shared" si="8"/>
        <v>4.340277777777778E-3</v>
      </c>
      <c r="P18" s="146">
        <f t="shared" si="9"/>
        <v>4.8225308641975315E-3</v>
      </c>
      <c r="Q18" s="146">
        <f t="shared" si="10"/>
        <v>5.3047839506172841E-3</v>
      </c>
      <c r="R18" s="148">
        <f t="shared" si="11"/>
        <v>5.3047839506172841E-3</v>
      </c>
      <c r="S18" s="493"/>
      <c r="T18" s="99"/>
      <c r="U18" s="94"/>
      <c r="V18" s="94"/>
      <c r="W18" s="94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</row>
    <row r="19" spans="1:50">
      <c r="B19" s="143">
        <f>B18+A16+1</f>
        <v>142.46999999999997</v>
      </c>
      <c r="C19" s="467"/>
      <c r="D19" s="482"/>
      <c r="E19" s="144" t="s">
        <v>147</v>
      </c>
      <c r="F19" s="145">
        <f>($E$9*0.65)</f>
        <v>9.3600000000000012</v>
      </c>
      <c r="G19" s="145">
        <f t="shared" si="0"/>
        <v>2.6</v>
      </c>
      <c r="H19" s="146">
        <f t="shared" si="1"/>
        <v>8.9031339031339022E-4</v>
      </c>
      <c r="I19" s="146">
        <f t="shared" si="2"/>
        <v>1.3354700854700855E-3</v>
      </c>
      <c r="J19" s="146">
        <f t="shared" si="3"/>
        <v>1.7806267806267804E-3</v>
      </c>
      <c r="K19" s="146">
        <f t="shared" si="4"/>
        <v>2.2257834757834754E-3</v>
      </c>
      <c r="L19" s="146">
        <f t="shared" si="5"/>
        <v>2.670940170940171E-3</v>
      </c>
      <c r="M19" s="147">
        <f t="shared" si="6"/>
        <v>3.1160968660968662E-3</v>
      </c>
      <c r="N19" s="146">
        <f t="shared" si="7"/>
        <v>3.5612535612535609E-3</v>
      </c>
      <c r="O19" s="146">
        <f t="shared" si="8"/>
        <v>4.0064102564102561E-3</v>
      </c>
      <c r="P19" s="146">
        <f t="shared" si="9"/>
        <v>4.4515669515669508E-3</v>
      </c>
      <c r="Q19" s="146">
        <f t="shared" si="10"/>
        <v>4.8967236467236464E-3</v>
      </c>
      <c r="R19" s="148">
        <f t="shared" si="11"/>
        <v>4.8967236467236464E-3</v>
      </c>
      <c r="S19" s="493"/>
      <c r="T19" s="94"/>
      <c r="U19" s="94"/>
      <c r="V19" s="94"/>
      <c r="W19" s="94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</row>
    <row r="20" spans="1:50" ht="13.5" thickBot="1">
      <c r="B20" s="149">
        <f>'-'!C23</f>
        <v>150.4</v>
      </c>
      <c r="C20" s="468"/>
      <c r="D20" s="483"/>
      <c r="E20" s="150" t="s">
        <v>148</v>
      </c>
      <c r="F20" s="151">
        <f>($E$9*0.7)</f>
        <v>10.08</v>
      </c>
      <c r="G20" s="151">
        <f t="shared" si="0"/>
        <v>2.8</v>
      </c>
      <c r="H20" s="152">
        <f t="shared" si="1"/>
        <v>8.2671957671957678E-4</v>
      </c>
      <c r="I20" s="152">
        <f t="shared" si="2"/>
        <v>1.2400793650793652E-3</v>
      </c>
      <c r="J20" s="152">
        <f t="shared" si="3"/>
        <v>1.6534391534391536E-3</v>
      </c>
      <c r="K20" s="152">
        <f t="shared" si="4"/>
        <v>2.0667989417989421E-3</v>
      </c>
      <c r="L20" s="152">
        <f t="shared" si="5"/>
        <v>2.4801587301587305E-3</v>
      </c>
      <c r="M20" s="153">
        <f t="shared" si="6"/>
        <v>2.8935185185185188E-3</v>
      </c>
      <c r="N20" s="152">
        <f t="shared" si="7"/>
        <v>3.3068783068783071E-3</v>
      </c>
      <c r="O20" s="152">
        <f t="shared" si="8"/>
        <v>3.7202380952380955E-3</v>
      </c>
      <c r="P20" s="152">
        <f t="shared" si="9"/>
        <v>4.1335978835978842E-3</v>
      </c>
      <c r="Q20" s="152">
        <f t="shared" si="10"/>
        <v>4.5469576719576726E-3</v>
      </c>
      <c r="R20" s="154">
        <f t="shared" si="11"/>
        <v>4.5469576719576726E-3</v>
      </c>
      <c r="S20" s="493"/>
      <c r="T20" s="94"/>
      <c r="U20" s="94"/>
      <c r="V20" s="94"/>
      <c r="W20" s="94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</row>
    <row r="21" spans="1:50" ht="12.75" customHeight="1">
      <c r="B21" s="155">
        <f>B22-A23</f>
        <v>156.51000000000005</v>
      </c>
      <c r="C21" s="460" t="s">
        <v>31</v>
      </c>
      <c r="D21" s="478" t="s">
        <v>2</v>
      </c>
      <c r="E21" s="156" t="s">
        <v>149</v>
      </c>
      <c r="F21" s="157">
        <f>($E$9*0.75)</f>
        <v>10.8</v>
      </c>
      <c r="G21" s="157">
        <f t="shared" si="0"/>
        <v>3</v>
      </c>
      <c r="H21" s="158">
        <f t="shared" si="1"/>
        <v>7.71604938271605E-4</v>
      </c>
      <c r="I21" s="158">
        <f t="shared" si="2"/>
        <v>1.1574074074074073E-3</v>
      </c>
      <c r="J21" s="158">
        <f t="shared" si="3"/>
        <v>1.54320987654321E-3</v>
      </c>
      <c r="K21" s="158">
        <f t="shared" si="4"/>
        <v>1.9290123456790122E-3</v>
      </c>
      <c r="L21" s="158">
        <f t="shared" si="5"/>
        <v>2.3148148148148147E-3</v>
      </c>
      <c r="M21" s="159">
        <f t="shared" si="6"/>
        <v>2.7006172839506176E-3</v>
      </c>
      <c r="N21" s="158">
        <f t="shared" si="7"/>
        <v>3.08641975308642E-3</v>
      </c>
      <c r="O21" s="158">
        <f t="shared" si="8"/>
        <v>3.472222222222222E-3</v>
      </c>
      <c r="P21" s="158">
        <f t="shared" si="9"/>
        <v>3.8580246913580245E-3</v>
      </c>
      <c r="Q21" s="158">
        <f t="shared" si="10"/>
        <v>4.2438271604938278E-3</v>
      </c>
      <c r="R21" s="160">
        <f t="shared" si="11"/>
        <v>4.2438271604938278E-3</v>
      </c>
      <c r="S21" s="494"/>
      <c r="T21" s="94"/>
      <c r="U21" s="94"/>
      <c r="V21" s="94"/>
      <c r="W21" s="94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</row>
    <row r="22" spans="1:50">
      <c r="B22" s="161">
        <f>B23-A23</f>
        <v>160.74000000000004</v>
      </c>
      <c r="C22" s="461"/>
      <c r="D22" s="479"/>
      <c r="E22" s="162" t="s">
        <v>150</v>
      </c>
      <c r="F22" s="163">
        <f>($E$9*0.8)</f>
        <v>11.520000000000001</v>
      </c>
      <c r="G22" s="163">
        <f t="shared" si="0"/>
        <v>3.2</v>
      </c>
      <c r="H22" s="164">
        <f t="shared" si="1"/>
        <v>7.2337962962962959E-4</v>
      </c>
      <c r="I22" s="164">
        <f t="shared" si="2"/>
        <v>1.0850694444444445E-3</v>
      </c>
      <c r="J22" s="164">
        <f t="shared" si="3"/>
        <v>1.4467592592592592E-3</v>
      </c>
      <c r="K22" s="164">
        <f t="shared" si="4"/>
        <v>1.8084490740740741E-3</v>
      </c>
      <c r="L22" s="164">
        <f t="shared" si="5"/>
        <v>2.170138888888889E-3</v>
      </c>
      <c r="M22" s="165">
        <f t="shared" si="6"/>
        <v>2.5318287037037037E-3</v>
      </c>
      <c r="N22" s="164">
        <f t="shared" si="7"/>
        <v>2.8935185185185184E-3</v>
      </c>
      <c r="O22" s="164">
        <f t="shared" si="8"/>
        <v>3.2552083333333335E-3</v>
      </c>
      <c r="P22" s="164">
        <f t="shared" si="9"/>
        <v>3.6168981481481482E-3</v>
      </c>
      <c r="Q22" s="164">
        <f t="shared" si="10"/>
        <v>3.9785879629629633E-3</v>
      </c>
      <c r="R22" s="166">
        <f t="shared" si="11"/>
        <v>3.9785879629629633E-3</v>
      </c>
      <c r="S22" s="494"/>
      <c r="T22" s="94"/>
      <c r="U22" s="94"/>
      <c r="V22" s="94"/>
      <c r="W22" s="94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</row>
    <row r="23" spans="1:50">
      <c r="A23" s="91">
        <f>B24*0.025</f>
        <v>4.2300000000000004</v>
      </c>
      <c r="B23" s="161">
        <f>B24-A23</f>
        <v>164.97000000000003</v>
      </c>
      <c r="C23" s="461"/>
      <c r="D23" s="479"/>
      <c r="E23" s="162" t="s">
        <v>151</v>
      </c>
      <c r="F23" s="163">
        <f>($E$9*0.85)</f>
        <v>12.24</v>
      </c>
      <c r="G23" s="163">
        <f t="shared" si="0"/>
        <v>3.4</v>
      </c>
      <c r="H23" s="164">
        <f t="shared" si="1"/>
        <v>6.8082788671023969E-4</v>
      </c>
      <c r="I23" s="164">
        <f t="shared" si="2"/>
        <v>1.0212418300653595E-3</v>
      </c>
      <c r="J23" s="164">
        <f t="shared" si="3"/>
        <v>1.3616557734204794E-3</v>
      </c>
      <c r="K23" s="164">
        <f t="shared" si="4"/>
        <v>1.7020697167755992E-3</v>
      </c>
      <c r="L23" s="164">
        <f t="shared" si="5"/>
        <v>2.0424836601307191E-3</v>
      </c>
      <c r="M23" s="165">
        <f t="shared" si="6"/>
        <v>2.3828976034858387E-3</v>
      </c>
      <c r="N23" s="164">
        <f t="shared" si="7"/>
        <v>2.7233115468409588E-3</v>
      </c>
      <c r="O23" s="164">
        <f t="shared" si="8"/>
        <v>3.0637254901960784E-3</v>
      </c>
      <c r="P23" s="164">
        <f t="shared" si="9"/>
        <v>3.4041394335511985E-3</v>
      </c>
      <c r="Q23" s="164">
        <f t="shared" si="10"/>
        <v>3.7445533769063185E-3</v>
      </c>
      <c r="R23" s="166">
        <f t="shared" si="11"/>
        <v>3.7445533769063185E-3</v>
      </c>
      <c r="S23" s="494"/>
      <c r="T23" s="94"/>
      <c r="U23" s="94"/>
      <c r="V23" s="94"/>
      <c r="W23" s="94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</row>
    <row r="24" spans="1:50" ht="13.5" thickBot="1">
      <c r="B24" s="167">
        <f>'-'!C19</f>
        <v>169.20000000000002</v>
      </c>
      <c r="C24" s="462"/>
      <c r="D24" s="480"/>
      <c r="E24" s="168" t="s">
        <v>152</v>
      </c>
      <c r="F24" s="169">
        <f>($E$9*0.9)</f>
        <v>12.96</v>
      </c>
      <c r="G24" s="169">
        <f t="shared" si="0"/>
        <v>3.6</v>
      </c>
      <c r="H24" s="170">
        <f t="shared" si="1"/>
        <v>6.4300411522633745E-4</v>
      </c>
      <c r="I24" s="170">
        <f t="shared" si="2"/>
        <v>9.6450617283950612E-4</v>
      </c>
      <c r="J24" s="170">
        <f t="shared" si="3"/>
        <v>1.2860082304526749E-3</v>
      </c>
      <c r="K24" s="170">
        <f t="shared" si="4"/>
        <v>1.6075102880658437E-3</v>
      </c>
      <c r="L24" s="170">
        <f t="shared" si="5"/>
        <v>1.9290123456790122E-3</v>
      </c>
      <c r="M24" s="171">
        <f t="shared" si="6"/>
        <v>2.2505144032921808E-3</v>
      </c>
      <c r="N24" s="170">
        <f t="shared" si="7"/>
        <v>2.5720164609053498E-3</v>
      </c>
      <c r="O24" s="170">
        <f t="shared" si="8"/>
        <v>2.8935185185185184E-3</v>
      </c>
      <c r="P24" s="170">
        <f t="shared" si="9"/>
        <v>3.2150205761316874E-3</v>
      </c>
      <c r="Q24" s="170">
        <f t="shared" si="10"/>
        <v>3.5365226337448559E-3</v>
      </c>
      <c r="R24" s="172">
        <f t="shared" si="11"/>
        <v>3.5365226337448559E-3</v>
      </c>
      <c r="S24" s="494"/>
      <c r="T24" s="94"/>
      <c r="U24" s="94"/>
      <c r="V24" s="94"/>
      <c r="W24" s="94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</row>
    <row r="25" spans="1:50">
      <c r="B25" s="173">
        <f>B26-A27</f>
        <v>171.90250000000003</v>
      </c>
      <c r="C25" s="450" t="s">
        <v>139</v>
      </c>
      <c r="D25" s="484" t="s">
        <v>3</v>
      </c>
      <c r="E25" s="174" t="s">
        <v>153</v>
      </c>
      <c r="F25" s="175">
        <f>($E$9*0.95)</f>
        <v>13.68</v>
      </c>
      <c r="G25" s="175">
        <f t="shared" si="0"/>
        <v>3.8</v>
      </c>
      <c r="H25" s="176">
        <f t="shared" si="1"/>
        <v>6.0916179337231976E-4</v>
      </c>
      <c r="I25" s="176">
        <f t="shared" si="2"/>
        <v>9.1374269005847948E-4</v>
      </c>
      <c r="J25" s="176">
        <f t="shared" si="3"/>
        <v>1.2183235867446395E-3</v>
      </c>
      <c r="K25" s="176">
        <f t="shared" si="4"/>
        <v>1.5229044834307994E-3</v>
      </c>
      <c r="L25" s="176">
        <f t="shared" si="5"/>
        <v>1.827485380116959E-3</v>
      </c>
      <c r="M25" s="177">
        <f t="shared" si="6"/>
        <v>2.1320662768031188E-3</v>
      </c>
      <c r="N25" s="176">
        <f t="shared" si="7"/>
        <v>2.4366471734892791E-3</v>
      </c>
      <c r="O25" s="176">
        <f t="shared" si="8"/>
        <v>2.7412280701754389E-3</v>
      </c>
      <c r="P25" s="176">
        <f t="shared" si="9"/>
        <v>3.0458089668615987E-3</v>
      </c>
      <c r="Q25" s="176">
        <f t="shared" si="10"/>
        <v>3.350389863547759E-3</v>
      </c>
      <c r="R25" s="178">
        <f t="shared" si="11"/>
        <v>3.350389863547759E-3</v>
      </c>
      <c r="S25" s="494"/>
      <c r="T25" s="94"/>
      <c r="U25" s="94"/>
      <c r="V25" s="94"/>
      <c r="W25" s="94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</row>
    <row r="26" spans="1:50">
      <c r="B26" s="179">
        <f>B27-A27</f>
        <v>174.13500000000002</v>
      </c>
      <c r="C26" s="451"/>
      <c r="D26" s="485"/>
      <c r="E26" s="180" t="s">
        <v>154</v>
      </c>
      <c r="F26" s="181">
        <f>($E$9*1)</f>
        <v>14.4</v>
      </c>
      <c r="G26" s="181">
        <f t="shared" si="0"/>
        <v>4</v>
      </c>
      <c r="H26" s="182">
        <f t="shared" si="1"/>
        <v>5.7870370370370367E-4</v>
      </c>
      <c r="I26" s="182">
        <f t="shared" si="2"/>
        <v>8.6805555555555551E-4</v>
      </c>
      <c r="J26" s="182">
        <f t="shared" si="3"/>
        <v>1.1574074074074073E-3</v>
      </c>
      <c r="K26" s="182">
        <f t="shared" si="4"/>
        <v>1.4467592592592592E-3</v>
      </c>
      <c r="L26" s="182">
        <f t="shared" si="5"/>
        <v>1.736111111111111E-3</v>
      </c>
      <c r="M26" s="183">
        <f t="shared" si="6"/>
        <v>2.0254629629629629E-3</v>
      </c>
      <c r="N26" s="182">
        <f t="shared" si="7"/>
        <v>2.3148148148148147E-3</v>
      </c>
      <c r="O26" s="182">
        <f t="shared" si="8"/>
        <v>2.6041666666666665E-3</v>
      </c>
      <c r="P26" s="182">
        <f t="shared" si="9"/>
        <v>2.8935185185185184E-3</v>
      </c>
      <c r="Q26" s="182">
        <f t="shared" si="10"/>
        <v>3.1828703703703702E-3</v>
      </c>
      <c r="R26" s="184">
        <f t="shared" si="11"/>
        <v>3.1828703703703702E-3</v>
      </c>
      <c r="S26" s="494"/>
      <c r="T26" s="94"/>
      <c r="U26" s="94"/>
      <c r="V26" s="94"/>
      <c r="W26" s="94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</row>
    <row r="27" spans="1:50">
      <c r="A27" s="91">
        <f>B28*0.0125</f>
        <v>2.2324999999999999</v>
      </c>
      <c r="B27" s="179">
        <f>B28-A27</f>
        <v>176.36750000000001</v>
      </c>
      <c r="C27" s="451"/>
      <c r="D27" s="485"/>
      <c r="E27" s="180" t="s">
        <v>155</v>
      </c>
      <c r="F27" s="181">
        <f>($E$9*1.05)</f>
        <v>15.120000000000001</v>
      </c>
      <c r="G27" s="181">
        <f t="shared" si="0"/>
        <v>4.2</v>
      </c>
      <c r="H27" s="182">
        <f t="shared" si="1"/>
        <v>5.5114638447971778E-4</v>
      </c>
      <c r="I27" s="182">
        <f t="shared" si="2"/>
        <v>8.2671957671957678E-4</v>
      </c>
      <c r="J27" s="182">
        <f t="shared" si="3"/>
        <v>1.1022927689594356E-3</v>
      </c>
      <c r="K27" s="182">
        <f t="shared" si="4"/>
        <v>1.3778659611992945E-3</v>
      </c>
      <c r="L27" s="182">
        <f t="shared" si="5"/>
        <v>1.6534391534391536E-3</v>
      </c>
      <c r="M27" s="183">
        <f t="shared" si="6"/>
        <v>1.9290123456790122E-3</v>
      </c>
      <c r="N27" s="182">
        <f t="shared" si="7"/>
        <v>2.2045855379188711E-3</v>
      </c>
      <c r="O27" s="182">
        <f t="shared" si="8"/>
        <v>2.48015873015873E-3</v>
      </c>
      <c r="P27" s="182">
        <f t="shared" si="9"/>
        <v>2.7557319223985889E-3</v>
      </c>
      <c r="Q27" s="182">
        <f t="shared" si="10"/>
        <v>3.0313051146384474E-3</v>
      </c>
      <c r="R27" s="184">
        <f t="shared" si="11"/>
        <v>3.0313051146384474E-3</v>
      </c>
      <c r="S27" s="494"/>
      <c r="T27" s="94"/>
      <c r="U27" s="94"/>
      <c r="V27" s="94"/>
      <c r="W27" s="94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</row>
    <row r="28" spans="1:50" ht="13.5" thickBot="1">
      <c r="B28" s="185">
        <f>'-'!C15</f>
        <v>178.6</v>
      </c>
      <c r="C28" s="452"/>
      <c r="D28" s="486"/>
      <c r="E28" s="186" t="s">
        <v>156</v>
      </c>
      <c r="F28" s="187">
        <f>($E$9*1.1)</f>
        <v>15.840000000000002</v>
      </c>
      <c r="G28" s="187">
        <f t="shared" si="0"/>
        <v>4.4000000000000004</v>
      </c>
      <c r="H28" s="188">
        <f t="shared" si="1"/>
        <v>5.2609427609427608E-4</v>
      </c>
      <c r="I28" s="188">
        <f t="shared" si="2"/>
        <v>7.8914141414141402E-4</v>
      </c>
      <c r="J28" s="188">
        <f t="shared" si="3"/>
        <v>1.0521885521885522E-3</v>
      </c>
      <c r="K28" s="188">
        <f t="shared" si="4"/>
        <v>1.3152356902356901E-3</v>
      </c>
      <c r="L28" s="188">
        <f t="shared" si="5"/>
        <v>1.578282828282828E-3</v>
      </c>
      <c r="M28" s="189">
        <f t="shared" si="6"/>
        <v>1.841329966329966E-3</v>
      </c>
      <c r="N28" s="188">
        <f t="shared" si="7"/>
        <v>2.1043771043771043E-3</v>
      </c>
      <c r="O28" s="188">
        <f t="shared" si="8"/>
        <v>2.3674242424242425E-3</v>
      </c>
      <c r="P28" s="188">
        <f t="shared" si="9"/>
        <v>2.6304713804713802E-3</v>
      </c>
      <c r="Q28" s="188">
        <f t="shared" si="10"/>
        <v>2.8935185185185184E-3</v>
      </c>
      <c r="R28" s="190">
        <f t="shared" si="11"/>
        <v>2.8935185185185184E-3</v>
      </c>
      <c r="S28" s="494"/>
      <c r="T28" s="94"/>
      <c r="U28" s="94"/>
      <c r="V28" s="94"/>
      <c r="W28" s="94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</row>
    <row r="29" spans="1:50">
      <c r="B29" s="191">
        <f>B30-A30</f>
        <v>180.95000000000002</v>
      </c>
      <c r="C29" s="453" t="s">
        <v>33</v>
      </c>
      <c r="D29" s="487" t="s">
        <v>208</v>
      </c>
      <c r="E29" s="192" t="s">
        <v>157</v>
      </c>
      <c r="F29" s="193">
        <f>($E$9*1.15)</f>
        <v>16.559999999999999</v>
      </c>
      <c r="G29" s="193">
        <f t="shared" si="0"/>
        <v>4.5999999999999996</v>
      </c>
      <c r="H29" s="194">
        <f t="shared" si="1"/>
        <v>5.0322061191626416E-4</v>
      </c>
      <c r="I29" s="194">
        <f t="shared" si="2"/>
        <v>7.5483091787439613E-4</v>
      </c>
      <c r="J29" s="194">
        <f t="shared" si="3"/>
        <v>1.0064412238325283E-3</v>
      </c>
      <c r="K29" s="194">
        <f t="shared" si="4"/>
        <v>1.2580515297906602E-3</v>
      </c>
      <c r="L29" s="194">
        <f t="shared" si="5"/>
        <v>1.5096618357487923E-3</v>
      </c>
      <c r="M29" s="195">
        <f t="shared" si="6"/>
        <v>1.7612721417069245E-3</v>
      </c>
      <c r="N29" s="194">
        <f t="shared" si="7"/>
        <v>2.0128824476650566E-3</v>
      </c>
      <c r="O29" s="194">
        <f t="shared" si="8"/>
        <v>2.2644927536231885E-3</v>
      </c>
      <c r="P29" s="194">
        <f t="shared" si="9"/>
        <v>2.5161030595813203E-3</v>
      </c>
      <c r="Q29" s="194">
        <f t="shared" si="10"/>
        <v>2.7677133655394526E-3</v>
      </c>
      <c r="R29" s="196">
        <f t="shared" si="11"/>
        <v>2.7677133655394526E-3</v>
      </c>
      <c r="S29" s="494"/>
      <c r="T29" s="94"/>
      <c r="U29" s="94"/>
      <c r="V29" s="94"/>
      <c r="W29" s="94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</row>
    <row r="30" spans="1:50">
      <c r="A30" s="91">
        <f>B32*0.0125</f>
        <v>2.35</v>
      </c>
      <c r="B30" s="197">
        <f>B31-A30</f>
        <v>183.3</v>
      </c>
      <c r="C30" s="454"/>
      <c r="D30" s="488"/>
      <c r="E30" s="198" t="s">
        <v>158</v>
      </c>
      <c r="F30" s="199">
        <f>($E$9*1.2)</f>
        <v>17.28</v>
      </c>
      <c r="G30" s="199">
        <f t="shared" si="0"/>
        <v>4.8</v>
      </c>
      <c r="H30" s="200">
        <f t="shared" si="1"/>
        <v>4.8225308641975317E-4</v>
      </c>
      <c r="I30" s="200">
        <f t="shared" si="2"/>
        <v>7.2337962962962959E-4</v>
      </c>
      <c r="J30" s="200">
        <f t="shared" si="3"/>
        <v>9.6450617283950634E-4</v>
      </c>
      <c r="K30" s="200">
        <f t="shared" si="4"/>
        <v>1.2056327160493829E-3</v>
      </c>
      <c r="L30" s="200">
        <f t="shared" si="5"/>
        <v>1.4467592592592592E-3</v>
      </c>
      <c r="M30" s="201">
        <f t="shared" si="6"/>
        <v>1.6878858024691359E-3</v>
      </c>
      <c r="N30" s="200">
        <f t="shared" si="7"/>
        <v>1.9290123456790127E-3</v>
      </c>
      <c r="O30" s="200">
        <f t="shared" si="8"/>
        <v>2.170138888888889E-3</v>
      </c>
      <c r="P30" s="200">
        <f t="shared" si="9"/>
        <v>2.4112654320987657E-3</v>
      </c>
      <c r="Q30" s="200">
        <f t="shared" si="10"/>
        <v>2.652391975308642E-3</v>
      </c>
      <c r="R30" s="202">
        <f t="shared" si="11"/>
        <v>2.652391975308642E-3</v>
      </c>
      <c r="S30" s="494"/>
      <c r="T30" s="94"/>
      <c r="U30" s="94"/>
      <c r="V30" s="94"/>
      <c r="W30" s="94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</row>
    <row r="31" spans="1:50">
      <c r="B31" s="197">
        <f>B32-A30</f>
        <v>185.65</v>
      </c>
      <c r="C31" s="454"/>
      <c r="D31" s="488"/>
      <c r="E31" s="198" t="s">
        <v>159</v>
      </c>
      <c r="F31" s="199">
        <f>($E$9*1.25)</f>
        <v>18</v>
      </c>
      <c r="G31" s="199">
        <f t="shared" si="0"/>
        <v>5</v>
      </c>
      <c r="H31" s="200">
        <f t="shared" si="1"/>
        <v>4.6296296296296298E-4</v>
      </c>
      <c r="I31" s="200">
        <f t="shared" si="2"/>
        <v>6.9444444444444447E-4</v>
      </c>
      <c r="J31" s="200">
        <f t="shared" si="3"/>
        <v>9.2592592592592596E-4</v>
      </c>
      <c r="K31" s="200">
        <f t="shared" si="4"/>
        <v>1.1574074074074073E-3</v>
      </c>
      <c r="L31" s="200">
        <f t="shared" si="5"/>
        <v>1.3888888888888889E-3</v>
      </c>
      <c r="M31" s="201">
        <f t="shared" si="6"/>
        <v>1.6203703703703703E-3</v>
      </c>
      <c r="N31" s="200">
        <f t="shared" si="7"/>
        <v>1.8518518518518519E-3</v>
      </c>
      <c r="O31" s="200">
        <f t="shared" si="8"/>
        <v>2.0833333333333333E-3</v>
      </c>
      <c r="P31" s="200">
        <f t="shared" si="9"/>
        <v>2.3148148148148147E-3</v>
      </c>
      <c r="Q31" s="200">
        <f t="shared" si="10"/>
        <v>2.5462962962962965E-3</v>
      </c>
      <c r="R31" s="202">
        <f t="shared" si="11"/>
        <v>2.5462962962962965E-3</v>
      </c>
      <c r="S31" s="494"/>
      <c r="T31" s="94"/>
      <c r="U31" s="94"/>
      <c r="V31" s="94"/>
      <c r="W31" s="94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</row>
    <row r="32" spans="1:50" ht="13.5" thickBot="1">
      <c r="B32" s="197">
        <f>'-'!C11</f>
        <v>188</v>
      </c>
      <c r="C32" s="455"/>
      <c r="D32" s="489"/>
      <c r="E32" s="203" t="s">
        <v>160</v>
      </c>
      <c r="F32" s="204">
        <f>($E$9*1.3)</f>
        <v>18.720000000000002</v>
      </c>
      <c r="G32" s="204">
        <f t="shared" si="0"/>
        <v>5.2</v>
      </c>
      <c r="H32" s="205">
        <f t="shared" si="1"/>
        <v>4.4515669515669511E-4</v>
      </c>
      <c r="I32" s="205">
        <f t="shared" si="2"/>
        <v>6.6773504273504275E-4</v>
      </c>
      <c r="J32" s="205">
        <f t="shared" si="3"/>
        <v>8.9031339031339022E-4</v>
      </c>
      <c r="K32" s="205">
        <f t="shared" si="4"/>
        <v>1.1128917378917377E-3</v>
      </c>
      <c r="L32" s="205">
        <f t="shared" si="5"/>
        <v>1.3354700854700855E-3</v>
      </c>
      <c r="M32" s="206">
        <f t="shared" si="6"/>
        <v>1.5580484330484331E-3</v>
      </c>
      <c r="N32" s="205">
        <f t="shared" si="7"/>
        <v>1.7806267806267804E-3</v>
      </c>
      <c r="O32" s="205">
        <f t="shared" si="8"/>
        <v>2.003205128205128E-3</v>
      </c>
      <c r="P32" s="205">
        <f t="shared" si="9"/>
        <v>2.2257834757834754E-3</v>
      </c>
      <c r="Q32" s="205">
        <f t="shared" si="10"/>
        <v>2.4483618233618232E-3</v>
      </c>
      <c r="R32" s="207">
        <f t="shared" si="11"/>
        <v>2.4483618233618232E-3</v>
      </c>
      <c r="S32" s="494"/>
      <c r="T32" s="94"/>
      <c r="U32" s="94"/>
      <c r="V32" s="94"/>
      <c r="W32" s="94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</row>
    <row r="33" spans="2:50" ht="14.25" customHeight="1">
      <c r="B33" s="208"/>
      <c r="C33" s="469" t="s">
        <v>32</v>
      </c>
      <c r="D33" s="472" t="s">
        <v>4</v>
      </c>
      <c r="E33" s="209" t="s">
        <v>161</v>
      </c>
      <c r="F33" s="210">
        <f>($E$9*1.35)</f>
        <v>19.440000000000001</v>
      </c>
      <c r="G33" s="210">
        <f t="shared" si="0"/>
        <v>5.4</v>
      </c>
      <c r="H33" s="211">
        <f t="shared" si="1"/>
        <v>4.2866941015089167E-4</v>
      </c>
      <c r="I33" s="211">
        <f t="shared" si="2"/>
        <v>6.4300411522633734E-4</v>
      </c>
      <c r="J33" s="211">
        <f t="shared" si="3"/>
        <v>8.5733882030178334E-4</v>
      </c>
      <c r="K33" s="211">
        <f t="shared" si="4"/>
        <v>1.0716735253772289E-3</v>
      </c>
      <c r="L33" s="211">
        <f t="shared" si="5"/>
        <v>1.2860082304526747E-3</v>
      </c>
      <c r="M33" s="212">
        <f t="shared" si="6"/>
        <v>1.5003429355281207E-3</v>
      </c>
      <c r="N33" s="211">
        <f t="shared" si="7"/>
        <v>1.7146776406035667E-3</v>
      </c>
      <c r="O33" s="211">
        <f t="shared" si="8"/>
        <v>1.9290123456790122E-3</v>
      </c>
      <c r="P33" s="211">
        <f t="shared" si="9"/>
        <v>2.1433470507544578E-3</v>
      </c>
      <c r="Q33" s="211">
        <f t="shared" si="10"/>
        <v>2.3576817558299038E-3</v>
      </c>
      <c r="R33" s="213">
        <f t="shared" si="11"/>
        <v>2.3576817558299038E-3</v>
      </c>
      <c r="S33" s="494"/>
      <c r="T33" s="94"/>
      <c r="U33" s="94"/>
      <c r="V33" s="94"/>
      <c r="W33" s="94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</row>
    <row r="34" spans="2:50">
      <c r="B34" s="208"/>
      <c r="C34" s="470"/>
      <c r="D34" s="473"/>
      <c r="E34" s="214" t="s">
        <v>162</v>
      </c>
      <c r="F34" s="215">
        <f>($E$9*1.4)</f>
        <v>20.16</v>
      </c>
      <c r="G34" s="215">
        <f t="shared" si="0"/>
        <v>5.6</v>
      </c>
      <c r="H34" s="216">
        <f t="shared" si="1"/>
        <v>4.1335978835978839E-4</v>
      </c>
      <c r="I34" s="216">
        <f t="shared" si="2"/>
        <v>6.2003968253968261E-4</v>
      </c>
      <c r="J34" s="216">
        <f t="shared" si="3"/>
        <v>8.2671957671957678E-4</v>
      </c>
      <c r="K34" s="216">
        <f t="shared" si="4"/>
        <v>1.0333994708994711E-3</v>
      </c>
      <c r="L34" s="216">
        <f t="shared" si="5"/>
        <v>1.2400793650793652E-3</v>
      </c>
      <c r="M34" s="217">
        <f t="shared" si="6"/>
        <v>1.4467592592592594E-3</v>
      </c>
      <c r="N34" s="216">
        <f t="shared" si="7"/>
        <v>1.6534391534391536E-3</v>
      </c>
      <c r="O34" s="216">
        <f t="shared" si="8"/>
        <v>1.8601190476190477E-3</v>
      </c>
      <c r="P34" s="216">
        <f t="shared" si="9"/>
        <v>2.0667989417989421E-3</v>
      </c>
      <c r="Q34" s="216">
        <f t="shared" si="10"/>
        <v>2.2734788359788363E-3</v>
      </c>
      <c r="R34" s="218">
        <f t="shared" si="11"/>
        <v>2.2734788359788363E-3</v>
      </c>
      <c r="S34" s="494"/>
      <c r="T34" s="94"/>
      <c r="U34" s="94"/>
      <c r="V34" s="94"/>
      <c r="W34" s="94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</row>
    <row r="35" spans="2:50">
      <c r="B35" s="208"/>
      <c r="C35" s="470"/>
      <c r="D35" s="473"/>
      <c r="E35" s="214" t="s">
        <v>163</v>
      </c>
      <c r="F35" s="215">
        <f>($E$9*1.45)</f>
        <v>20.88</v>
      </c>
      <c r="G35" s="215">
        <f t="shared" si="0"/>
        <v>5.8</v>
      </c>
      <c r="H35" s="216">
        <f t="shared" si="1"/>
        <v>3.9910600255427844E-4</v>
      </c>
      <c r="I35" s="216">
        <f t="shared" si="2"/>
        <v>5.9865900383141769E-4</v>
      </c>
      <c r="J35" s="216">
        <f t="shared" si="3"/>
        <v>7.9821200510855688E-4</v>
      </c>
      <c r="K35" s="216">
        <f t="shared" si="4"/>
        <v>9.9776500638569608E-4</v>
      </c>
      <c r="L35" s="216">
        <f t="shared" si="5"/>
        <v>1.1973180076628354E-3</v>
      </c>
      <c r="M35" s="217">
        <f t="shared" si="6"/>
        <v>1.3968710089399745E-3</v>
      </c>
      <c r="N35" s="216">
        <f t="shared" si="7"/>
        <v>1.5964240102171138E-3</v>
      </c>
      <c r="O35" s="216">
        <f t="shared" si="8"/>
        <v>1.7959770114942531E-3</v>
      </c>
      <c r="P35" s="216">
        <f t="shared" si="9"/>
        <v>1.9955300127713922E-3</v>
      </c>
      <c r="Q35" s="216">
        <f t="shared" si="10"/>
        <v>2.1950830140485315E-3</v>
      </c>
      <c r="R35" s="218">
        <f t="shared" si="11"/>
        <v>2.1950830140485315E-3</v>
      </c>
      <c r="S35" s="494"/>
      <c r="T35" s="94"/>
      <c r="U35" s="94"/>
      <c r="V35" s="94"/>
      <c r="W35" s="94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</row>
    <row r="36" spans="2:50" ht="13.5" thickBot="1">
      <c r="B36" s="219"/>
      <c r="C36" s="471"/>
      <c r="D36" s="474"/>
      <c r="E36" s="220" t="s">
        <v>164</v>
      </c>
      <c r="F36" s="221">
        <f>($E$9*1.5)</f>
        <v>21.6</v>
      </c>
      <c r="G36" s="221">
        <f t="shared" si="0"/>
        <v>6</v>
      </c>
      <c r="H36" s="222">
        <f t="shared" si="1"/>
        <v>3.858024691358025E-4</v>
      </c>
      <c r="I36" s="222">
        <f t="shared" si="2"/>
        <v>5.7870370370370367E-4</v>
      </c>
      <c r="J36" s="222">
        <f t="shared" si="3"/>
        <v>7.71604938271605E-4</v>
      </c>
      <c r="K36" s="222">
        <f t="shared" si="4"/>
        <v>9.6450617283950612E-4</v>
      </c>
      <c r="L36" s="222">
        <f t="shared" si="5"/>
        <v>1.1574074074074073E-3</v>
      </c>
      <c r="M36" s="223">
        <f t="shared" si="6"/>
        <v>1.3503086419753088E-3</v>
      </c>
      <c r="N36" s="222">
        <f t="shared" si="7"/>
        <v>1.54320987654321E-3</v>
      </c>
      <c r="O36" s="222">
        <f t="shared" si="8"/>
        <v>1.736111111111111E-3</v>
      </c>
      <c r="P36" s="222">
        <f t="shared" si="9"/>
        <v>1.9290123456790122E-3</v>
      </c>
      <c r="Q36" s="222">
        <f t="shared" si="10"/>
        <v>2.1219135802469139E-3</v>
      </c>
      <c r="R36" s="224">
        <f t="shared" si="11"/>
        <v>2.1219135802469139E-3</v>
      </c>
      <c r="S36" s="495"/>
      <c r="T36" s="94"/>
      <c r="U36" s="94"/>
      <c r="V36" s="94"/>
      <c r="W36" s="94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</row>
    <row r="37" spans="2:50"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94"/>
      <c r="U37" s="94"/>
      <c r="V37" s="94"/>
      <c r="W37" s="94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</row>
    <row r="38" spans="2:50"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94"/>
      <c r="U38" s="94"/>
      <c r="V38" s="94"/>
      <c r="W38" s="94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</row>
    <row r="39" spans="2:50">
      <c r="D39" s="83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3"/>
      <c r="R39" s="83"/>
      <c r="S39" s="83"/>
      <c r="T39" s="94"/>
      <c r="U39" s="94"/>
      <c r="V39" s="94"/>
      <c r="W39" s="94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</row>
    <row r="40" spans="2:50">
      <c r="D40" s="83"/>
      <c r="E40" s="502"/>
      <c r="F40" s="502"/>
      <c r="G40" s="502"/>
      <c r="H40" s="502"/>
      <c r="I40" s="502"/>
      <c r="J40" s="85"/>
      <c r="K40" s="85"/>
      <c r="L40" s="502"/>
      <c r="M40" s="502"/>
      <c r="N40" s="502"/>
      <c r="O40" s="502"/>
      <c r="P40" s="502"/>
      <c r="Q40" s="83"/>
      <c r="R40" s="83"/>
      <c r="S40" s="83"/>
      <c r="T40" s="94"/>
      <c r="U40" s="94"/>
      <c r="V40" s="94"/>
      <c r="W40" s="94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</row>
    <row r="41" spans="2:50" ht="14.25">
      <c r="C41" s="79" t="s">
        <v>214</v>
      </c>
      <c r="D41" s="83"/>
      <c r="E41" s="459"/>
      <c r="F41" s="459"/>
      <c r="G41" s="459"/>
      <c r="H41" s="459"/>
      <c r="I41" s="459"/>
      <c r="J41" s="83"/>
      <c r="K41" s="83"/>
      <c r="L41" s="459"/>
      <c r="M41" s="459"/>
      <c r="N41" s="459"/>
      <c r="O41" s="459"/>
      <c r="P41" s="459"/>
      <c r="Q41" s="83"/>
      <c r="R41" s="83"/>
      <c r="S41" s="83"/>
      <c r="T41" s="94"/>
      <c r="U41" s="94"/>
      <c r="V41" s="94"/>
      <c r="W41" s="94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</row>
    <row r="42" spans="2:50" ht="14.25">
      <c r="C42" s="79" t="s">
        <v>215</v>
      </c>
      <c r="D42" s="83"/>
      <c r="E42" s="459"/>
      <c r="F42" s="459"/>
      <c r="G42" s="459"/>
      <c r="H42" s="459"/>
      <c r="I42" s="459"/>
      <c r="J42" s="83"/>
      <c r="K42" s="83"/>
      <c r="L42" s="459"/>
      <c r="M42" s="459"/>
      <c r="N42" s="459"/>
      <c r="O42" s="459"/>
      <c r="P42" s="459"/>
      <c r="Q42" s="83"/>
      <c r="R42" s="83"/>
      <c r="S42" s="83"/>
      <c r="T42" s="94"/>
      <c r="U42" s="94"/>
      <c r="V42" s="94"/>
      <c r="W42" s="94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</row>
    <row r="43" spans="2:50">
      <c r="D43" s="83"/>
      <c r="E43" s="459"/>
      <c r="F43" s="459"/>
      <c r="G43" s="459"/>
      <c r="H43" s="459"/>
      <c r="I43" s="459"/>
      <c r="J43" s="83"/>
      <c r="K43" s="83"/>
      <c r="L43" s="459"/>
      <c r="M43" s="459"/>
      <c r="N43" s="459"/>
      <c r="O43" s="459"/>
      <c r="P43" s="459"/>
      <c r="Q43" s="83"/>
      <c r="R43" s="83"/>
      <c r="S43" s="83"/>
      <c r="T43" s="94"/>
      <c r="U43" s="94"/>
      <c r="V43" s="94"/>
      <c r="W43" s="94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</row>
    <row r="44" spans="2:50">
      <c r="D44" s="83"/>
      <c r="E44" s="459"/>
      <c r="F44" s="459"/>
      <c r="G44" s="459"/>
      <c r="H44" s="459"/>
      <c r="I44" s="459"/>
      <c r="J44" s="83"/>
      <c r="K44" s="83"/>
      <c r="L44" s="459"/>
      <c r="M44" s="459"/>
      <c r="N44" s="459"/>
      <c r="O44" s="459"/>
      <c r="P44" s="459"/>
      <c r="Q44" s="83"/>
      <c r="R44" s="83"/>
      <c r="S44" s="83"/>
      <c r="T44" s="94"/>
      <c r="U44" s="94"/>
      <c r="V44" s="94"/>
      <c r="W44" s="94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</row>
    <row r="45" spans="2:50">
      <c r="D45" s="83"/>
      <c r="E45" s="459"/>
      <c r="F45" s="459"/>
      <c r="G45" s="459"/>
      <c r="H45" s="459"/>
      <c r="I45" s="459"/>
      <c r="J45" s="83"/>
      <c r="K45" s="83"/>
      <c r="L45" s="459"/>
      <c r="M45" s="459"/>
      <c r="N45" s="459"/>
      <c r="O45" s="459"/>
      <c r="P45" s="459"/>
      <c r="Q45" s="83"/>
      <c r="R45" s="83"/>
      <c r="S45" s="83"/>
      <c r="T45" s="94"/>
      <c r="U45" s="94"/>
      <c r="V45" s="94"/>
      <c r="W45" s="94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</row>
    <row r="46" spans="2:50">
      <c r="D46" s="83"/>
      <c r="E46" s="459"/>
      <c r="F46" s="459"/>
      <c r="G46" s="459"/>
      <c r="H46" s="459"/>
      <c r="I46" s="459"/>
      <c r="J46" s="83"/>
      <c r="K46" s="83"/>
      <c r="L46" s="459"/>
      <c r="M46" s="459"/>
      <c r="N46" s="459"/>
      <c r="O46" s="459"/>
      <c r="P46" s="459"/>
      <c r="Q46" s="83"/>
      <c r="R46" s="83"/>
      <c r="S46" s="83"/>
      <c r="T46" s="94"/>
      <c r="U46" s="94"/>
      <c r="V46" s="94"/>
      <c r="W46" s="94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</row>
    <row r="47" spans="2:50">
      <c r="D47" s="83"/>
      <c r="E47" s="459"/>
      <c r="F47" s="459"/>
      <c r="G47" s="459"/>
      <c r="H47" s="459"/>
      <c r="I47" s="459"/>
      <c r="J47" s="83"/>
      <c r="K47" s="83"/>
      <c r="L47" s="459"/>
      <c r="M47" s="459"/>
      <c r="N47" s="459"/>
      <c r="O47" s="459"/>
      <c r="P47" s="459"/>
      <c r="Q47" s="83"/>
      <c r="R47" s="83"/>
      <c r="S47" s="83"/>
      <c r="T47" s="94"/>
      <c r="U47" s="94"/>
      <c r="V47" s="94"/>
      <c r="W47" s="94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</row>
    <row r="48" spans="2:50">
      <c r="D48" s="83"/>
      <c r="E48" s="459"/>
      <c r="F48" s="459"/>
      <c r="G48" s="459"/>
      <c r="H48" s="459"/>
      <c r="I48" s="459"/>
      <c r="J48" s="83"/>
      <c r="K48" s="83"/>
      <c r="L48" s="459"/>
      <c r="M48" s="459"/>
      <c r="N48" s="459"/>
      <c r="O48" s="459"/>
      <c r="P48" s="459"/>
      <c r="Q48" s="83"/>
      <c r="R48" s="83"/>
      <c r="S48" s="83"/>
      <c r="T48" s="94"/>
      <c r="U48" s="94"/>
      <c r="V48" s="94"/>
      <c r="W48" s="94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</row>
    <row r="49" spans="4:50">
      <c r="D49" s="83"/>
      <c r="E49" s="459"/>
      <c r="F49" s="459"/>
      <c r="G49" s="459"/>
      <c r="H49" s="459"/>
      <c r="I49" s="459"/>
      <c r="J49" s="83"/>
      <c r="K49" s="83"/>
      <c r="L49" s="459"/>
      <c r="M49" s="459"/>
      <c r="N49" s="459"/>
      <c r="O49" s="459"/>
      <c r="P49" s="459"/>
      <c r="Q49" s="83"/>
      <c r="R49" s="83"/>
      <c r="S49" s="83"/>
      <c r="T49" s="94"/>
      <c r="U49" s="94"/>
      <c r="V49" s="94"/>
      <c r="W49" s="94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</row>
    <row r="50" spans="4:50">
      <c r="D50" s="83"/>
      <c r="E50" s="459"/>
      <c r="F50" s="459"/>
      <c r="G50" s="459"/>
      <c r="H50" s="459"/>
      <c r="I50" s="459"/>
      <c r="J50" s="83"/>
      <c r="K50" s="83"/>
      <c r="L50" s="459"/>
      <c r="M50" s="459"/>
      <c r="N50" s="459"/>
      <c r="O50" s="459"/>
      <c r="P50" s="459"/>
      <c r="Q50" s="83"/>
      <c r="R50" s="83"/>
      <c r="S50" s="83"/>
      <c r="T50" s="94"/>
      <c r="U50" s="94"/>
      <c r="V50" s="94"/>
      <c r="W50" s="94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</row>
    <row r="51" spans="4:50">
      <c r="D51" s="83"/>
      <c r="E51" s="459"/>
      <c r="F51" s="459"/>
      <c r="G51" s="459"/>
      <c r="H51" s="459"/>
      <c r="I51" s="459"/>
      <c r="J51" s="83"/>
      <c r="K51" s="83"/>
      <c r="L51" s="459"/>
      <c r="M51" s="459"/>
      <c r="N51" s="459"/>
      <c r="O51" s="459"/>
      <c r="P51" s="459"/>
      <c r="Q51" s="83"/>
      <c r="R51" s="83"/>
      <c r="S51" s="83"/>
      <c r="T51" s="94"/>
      <c r="U51" s="94"/>
      <c r="V51" s="94"/>
      <c r="W51" s="94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</row>
    <row r="52" spans="4:50">
      <c r="D52" s="83"/>
      <c r="E52" s="459"/>
      <c r="F52" s="459"/>
      <c r="G52" s="459"/>
      <c r="H52" s="459"/>
      <c r="I52" s="459"/>
      <c r="J52" s="83"/>
      <c r="K52" s="83"/>
      <c r="L52" s="459"/>
      <c r="M52" s="459"/>
      <c r="N52" s="459"/>
      <c r="O52" s="459"/>
      <c r="P52" s="459"/>
      <c r="Q52" s="83"/>
      <c r="R52" s="83"/>
      <c r="S52" s="83"/>
      <c r="T52" s="94"/>
      <c r="U52" s="94"/>
      <c r="V52" s="94"/>
      <c r="W52" s="94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</row>
    <row r="53" spans="4:50">
      <c r="D53" s="83"/>
      <c r="E53" s="459"/>
      <c r="F53" s="459"/>
      <c r="G53" s="459"/>
      <c r="H53" s="459"/>
      <c r="I53" s="459"/>
      <c r="J53" s="83"/>
      <c r="K53" s="83"/>
      <c r="L53" s="459"/>
      <c r="M53" s="459"/>
      <c r="N53" s="459"/>
      <c r="O53" s="459"/>
      <c r="P53" s="459"/>
      <c r="Q53" s="83"/>
      <c r="R53" s="83"/>
      <c r="S53" s="83"/>
      <c r="T53" s="94"/>
      <c r="U53" s="94"/>
      <c r="V53" s="94"/>
      <c r="W53" s="94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</row>
    <row r="54" spans="4:50"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94"/>
      <c r="U54" s="94"/>
      <c r="V54" s="94"/>
      <c r="W54" s="94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</row>
    <row r="55" spans="4:50"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94"/>
      <c r="U55" s="94"/>
      <c r="V55" s="94"/>
      <c r="W55" s="94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</row>
    <row r="56" spans="4:50"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94"/>
      <c r="U56" s="94"/>
      <c r="V56" s="94"/>
      <c r="W56" s="94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</row>
    <row r="57" spans="4:50"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94"/>
      <c r="U57" s="94"/>
      <c r="V57" s="94"/>
      <c r="W57" s="94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</row>
    <row r="58" spans="4:50"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94"/>
      <c r="U58" s="94"/>
      <c r="V58" s="94"/>
      <c r="W58" s="94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</row>
    <row r="59" spans="4:50"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94"/>
      <c r="U59" s="94"/>
      <c r="V59" s="94"/>
      <c r="W59" s="94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</row>
    <row r="60" spans="4:50"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94"/>
      <c r="U60" s="94"/>
      <c r="V60" s="94"/>
      <c r="W60" s="94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</row>
    <row r="61" spans="4:50"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94"/>
      <c r="U61" s="94"/>
      <c r="V61" s="94"/>
      <c r="W61" s="94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</row>
    <row r="62" spans="4:50"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94"/>
      <c r="U62" s="94"/>
      <c r="V62" s="94"/>
      <c r="W62" s="94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</row>
    <row r="63" spans="4:50"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94"/>
      <c r="U63" s="94"/>
      <c r="V63" s="94"/>
      <c r="W63" s="94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</row>
    <row r="64" spans="4:50"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94"/>
      <c r="U64" s="94"/>
      <c r="V64" s="94"/>
      <c r="W64" s="94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</row>
    <row r="65" spans="4:50"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94"/>
      <c r="U65" s="94"/>
      <c r="V65" s="94"/>
      <c r="W65" s="94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</row>
    <row r="66" spans="4:50"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94"/>
      <c r="U66" s="94"/>
      <c r="V66" s="94"/>
      <c r="W66" s="94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</row>
    <row r="67" spans="4:50"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94"/>
      <c r="U67" s="94"/>
      <c r="V67" s="94"/>
      <c r="W67" s="94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</row>
    <row r="68" spans="4:50"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94"/>
      <c r="U68" s="94"/>
      <c r="V68" s="94"/>
      <c r="W68" s="94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</row>
    <row r="69" spans="4:50"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94"/>
      <c r="U69" s="94"/>
      <c r="V69" s="94"/>
      <c r="W69" s="94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</row>
  </sheetData>
  <sheetProtection algorithmName="SHA-512" hashValue="R5lr+9BMhPI1dRWSSN6Bty5sOsbLN7d2WckH4A3Gry5xWRwuxGbFqfgtVxJTn89v8byaD9QIRjKSAWp0p2U16Q==" saltValue="zwNclHCqmmfUzBEPzQ/Gkw==" spinCount="100000" sheet="1" objects="1" scenarios="1"/>
  <mergeCells count="49">
    <mergeCell ref="B10:B12"/>
    <mergeCell ref="L53:P53"/>
    <mergeCell ref="E5:S5"/>
    <mergeCell ref="E7:J7"/>
    <mergeCell ref="E40:I40"/>
    <mergeCell ref="L40:P40"/>
    <mergeCell ref="L49:P49"/>
    <mergeCell ref="L50:P50"/>
    <mergeCell ref="L51:P51"/>
    <mergeCell ref="L52:P52"/>
    <mergeCell ref="E52:I52"/>
    <mergeCell ref="E53:I53"/>
    <mergeCell ref="L41:P41"/>
    <mergeCell ref="L42:P42"/>
    <mergeCell ref="L43:P43"/>
    <mergeCell ref="L44:P44"/>
    <mergeCell ref="E51:I51"/>
    <mergeCell ref="E44:I44"/>
    <mergeCell ref="E45:I45"/>
    <mergeCell ref="E46:I46"/>
    <mergeCell ref="E47:I47"/>
    <mergeCell ref="E48:I48"/>
    <mergeCell ref="E49:I49"/>
    <mergeCell ref="E42:I42"/>
    <mergeCell ref="E43:I43"/>
    <mergeCell ref="K8:N8"/>
    <mergeCell ref="E10:S10"/>
    <mergeCell ref="E50:I50"/>
    <mergeCell ref="L45:P45"/>
    <mergeCell ref="L46:P46"/>
    <mergeCell ref="L47:P47"/>
    <mergeCell ref="L48:P48"/>
    <mergeCell ref="S11:S36"/>
    <mergeCell ref="G9:K9"/>
    <mergeCell ref="C25:C28"/>
    <mergeCell ref="C29:C32"/>
    <mergeCell ref="C10:C12"/>
    <mergeCell ref="D10:D12"/>
    <mergeCell ref="E41:I41"/>
    <mergeCell ref="C21:C24"/>
    <mergeCell ref="C13:C16"/>
    <mergeCell ref="C17:C20"/>
    <mergeCell ref="C33:C36"/>
    <mergeCell ref="D33:D36"/>
    <mergeCell ref="D13:D16"/>
    <mergeCell ref="D21:D24"/>
    <mergeCell ref="D17:D20"/>
    <mergeCell ref="D25:D28"/>
    <mergeCell ref="D29:D32"/>
  </mergeCells>
  <phoneticPr fontId="0" type="noConversion"/>
  <dataValidations xWindow="948" yWindow="444" count="1">
    <dataValidation type="whole" allowBlank="1" showInputMessage="1" showErrorMessage="1" errorTitle="Sr Usuario" error="No puede ingresar un valor mayor a 4780 metros." promptTitle="Sr. Usuario." prompt="Ingrese la distancia de la cual desea saber los tiempos en cada una de las zonas., dicha distancia no puede superar los 4500 metros, de lo contrario le arrojara errores._x000a__x000a_Jimmy Intriago" sqref="R12">
      <formula1>10</formula1>
      <formula2>4780</formula2>
    </dataValidation>
  </dataValidations>
  <printOptions horizontalCentered="1" verticalCentered="1"/>
  <pageMargins left="0.39370078740157499" right="0.39370078740157499" top="1.5" bottom="1" header="0" footer="0"/>
  <pageSetup paperSize="9" orientation="landscape" horizontalDpi="18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FF00"/>
  </sheetPr>
  <dimension ref="A3:AE60"/>
  <sheetViews>
    <sheetView showGridLines="0" showRowColHeaders="0" topLeftCell="A5" zoomScale="91" zoomScaleNormal="91" workbookViewId="0"/>
  </sheetViews>
  <sheetFormatPr baseColWidth="10" defaultRowHeight="12.75"/>
  <cols>
    <col min="1" max="1" width="2.85546875" style="7" customWidth="1"/>
    <col min="2" max="2" width="7.7109375" style="7" customWidth="1"/>
    <col min="3" max="3" width="5.140625" style="7" customWidth="1"/>
    <col min="4" max="4" width="11.42578125" style="7"/>
    <col min="5" max="5" width="5.140625" style="7" customWidth="1"/>
    <col min="6" max="6" width="5.28515625" style="7" customWidth="1"/>
    <col min="7" max="7" width="6.42578125" style="7" customWidth="1"/>
    <col min="8" max="10" width="11.42578125" style="7"/>
    <col min="11" max="11" width="10.85546875" style="7" customWidth="1"/>
    <col min="12" max="12" width="11.42578125" style="7"/>
    <col min="13" max="13" width="9.85546875" style="7" customWidth="1"/>
    <col min="14" max="14" width="6.85546875" style="7" customWidth="1"/>
    <col min="15" max="15" width="10.5703125" style="7" customWidth="1"/>
    <col min="16" max="16" width="11.85546875" style="7" customWidth="1"/>
    <col min="17" max="17" width="14.140625" style="7" customWidth="1"/>
    <col min="18" max="18" width="15.5703125" style="7" customWidth="1"/>
    <col min="19" max="19" width="1" style="7" customWidth="1"/>
    <col min="20" max="20" width="1.140625" style="7" customWidth="1"/>
    <col min="21" max="21" width="4.42578125" style="7" customWidth="1"/>
    <col min="22" max="22" width="12.28515625" style="7" customWidth="1"/>
    <col min="23" max="23" width="11.42578125" style="7"/>
    <col min="24" max="26" width="11.42578125" style="3"/>
    <col min="27" max="16384" width="11.42578125" style="7"/>
  </cols>
  <sheetData>
    <row r="3" spans="1:31">
      <c r="M3" s="74"/>
      <c r="O3" s="73" t="s">
        <v>96</v>
      </c>
      <c r="P3" s="3">
        <f>'.'!H17</f>
        <v>50.4</v>
      </c>
    </row>
    <row r="4" spans="1:31" ht="18.75">
      <c r="B4" s="109">
        <f>('.'!H32)</f>
        <v>4</v>
      </c>
      <c r="M4" s="74"/>
      <c r="O4" s="73" t="s">
        <v>99</v>
      </c>
      <c r="P4" s="3">
        <f>'.'!H15</f>
        <v>100</v>
      </c>
      <c r="Q4" s="549"/>
      <c r="R4" s="549"/>
      <c r="S4" s="546"/>
      <c r="T4" s="546"/>
      <c r="U4" s="546"/>
      <c r="V4" s="546"/>
    </row>
    <row r="5" spans="1:31" ht="20.25" customHeight="1">
      <c r="B5" s="3">
        <f>'.'!H25</f>
        <v>188</v>
      </c>
      <c r="C5" s="104" t="s">
        <v>35</v>
      </c>
      <c r="I5" s="566"/>
      <c r="J5" s="566"/>
      <c r="K5" s="566"/>
      <c r="L5" s="566"/>
      <c r="M5" s="566"/>
      <c r="N5" s="566"/>
      <c r="Q5" s="74"/>
      <c r="R5" s="74"/>
    </row>
    <row r="6" spans="1:31" ht="15" thickBot="1">
      <c r="B6" s="105"/>
      <c r="C6" s="105"/>
      <c r="D6" s="105"/>
      <c r="E6" s="105"/>
      <c r="F6" s="105"/>
      <c r="G6" s="105"/>
      <c r="H6" s="105"/>
      <c r="I6" s="567"/>
      <c r="J6" s="567"/>
      <c r="K6" s="567"/>
      <c r="L6" s="567"/>
      <c r="M6" s="567"/>
      <c r="N6" s="567"/>
      <c r="O6" s="106" t="s">
        <v>21</v>
      </c>
      <c r="P6" s="107" t="s">
        <v>62</v>
      </c>
      <c r="Q6" s="106" t="s">
        <v>63</v>
      </c>
      <c r="R6" s="547" t="s">
        <v>42</v>
      </c>
      <c r="S6" s="547"/>
      <c r="T6" s="105"/>
      <c r="U6" s="548" t="s">
        <v>97</v>
      </c>
      <c r="V6" s="548"/>
      <c r="W6" s="108"/>
      <c r="X6" s="103"/>
    </row>
    <row r="7" spans="1:31" ht="13.5" thickBot="1">
      <c r="A7" s="225"/>
      <c r="B7" s="226"/>
      <c r="C7" s="227"/>
      <c r="D7" s="228" t="s">
        <v>36</v>
      </c>
      <c r="E7" s="228"/>
      <c r="F7" s="228"/>
      <c r="G7" s="227"/>
      <c r="H7" s="576" t="s">
        <v>60</v>
      </c>
      <c r="I7" s="576"/>
      <c r="J7" s="576"/>
      <c r="K7" s="576"/>
      <c r="L7" s="540" t="s">
        <v>34</v>
      </c>
      <c r="M7" s="540"/>
      <c r="N7" s="540"/>
      <c r="O7" s="572" t="s">
        <v>71</v>
      </c>
      <c r="P7" s="573" t="s">
        <v>77</v>
      </c>
      <c r="Q7" s="553" t="s">
        <v>76</v>
      </c>
      <c r="R7" s="543"/>
      <c r="S7" s="557"/>
      <c r="T7" s="558"/>
      <c r="U7" s="558"/>
      <c r="V7" s="559"/>
      <c r="W7" s="229"/>
      <c r="X7" s="230"/>
      <c r="Y7" s="230"/>
      <c r="Z7" s="230"/>
      <c r="AA7" s="229"/>
      <c r="AB7" s="229"/>
      <c r="AC7" s="229"/>
      <c r="AD7" s="229"/>
      <c r="AE7" s="229"/>
    </row>
    <row r="8" spans="1:31" ht="13.5" thickBot="1">
      <c r="A8" s="225"/>
      <c r="B8" s="231"/>
      <c r="C8" s="232"/>
      <c r="D8" s="228"/>
      <c r="E8" s="228"/>
      <c r="F8" s="228"/>
      <c r="G8" s="232"/>
      <c r="H8" s="576"/>
      <c r="I8" s="576"/>
      <c r="J8" s="576"/>
      <c r="K8" s="576"/>
      <c r="L8" s="541"/>
      <c r="M8" s="541"/>
      <c r="N8" s="541"/>
      <c r="O8" s="572"/>
      <c r="P8" s="574"/>
      <c r="Q8" s="553"/>
      <c r="R8" s="544"/>
      <c r="S8" s="560"/>
      <c r="T8" s="561"/>
      <c r="U8" s="561"/>
      <c r="V8" s="562"/>
      <c r="W8" s="229"/>
      <c r="X8" s="230" t="s">
        <v>133</v>
      </c>
      <c r="Y8" s="230">
        <v>18</v>
      </c>
      <c r="Z8" s="230"/>
      <c r="AA8" s="229"/>
      <c r="AB8" s="229"/>
      <c r="AC8" s="229"/>
      <c r="AD8" s="229"/>
      <c r="AE8" s="229"/>
    </row>
    <row r="9" spans="1:31" ht="14.25" thickTop="1" thickBot="1">
      <c r="A9" s="225"/>
      <c r="B9" s="226"/>
      <c r="C9" s="232"/>
      <c r="D9" s="228"/>
      <c r="E9" s="228"/>
      <c r="F9" s="228"/>
      <c r="G9" s="232"/>
      <c r="H9" s="576"/>
      <c r="I9" s="576"/>
      <c r="J9" s="576"/>
      <c r="K9" s="576"/>
      <c r="L9" s="541"/>
      <c r="M9" s="541"/>
      <c r="N9" s="541"/>
      <c r="O9" s="572"/>
      <c r="P9" s="574"/>
      <c r="Q9" s="553"/>
      <c r="R9" s="544"/>
      <c r="S9" s="560"/>
      <c r="T9" s="561"/>
      <c r="U9" s="561"/>
      <c r="V9" s="562"/>
      <c r="W9" s="229"/>
      <c r="X9" s="230" t="s">
        <v>134</v>
      </c>
      <c r="Y9" s="230">
        <v>25</v>
      </c>
      <c r="Z9" s="230"/>
      <c r="AA9" s="229"/>
      <c r="AB9" s="229"/>
      <c r="AC9" s="229"/>
      <c r="AD9" s="229"/>
      <c r="AE9" s="229"/>
    </row>
    <row r="10" spans="1:31" ht="13.5" thickBot="1">
      <c r="A10" s="225"/>
      <c r="B10" s="233"/>
      <c r="C10" s="234"/>
      <c r="D10" s="233" t="s">
        <v>37</v>
      </c>
      <c r="E10" s="233"/>
      <c r="F10" s="233"/>
      <c r="G10" s="234"/>
      <c r="H10" s="576"/>
      <c r="I10" s="577"/>
      <c r="J10" s="577"/>
      <c r="K10" s="577"/>
      <c r="L10" s="542"/>
      <c r="M10" s="542"/>
      <c r="N10" s="542"/>
      <c r="O10" s="572"/>
      <c r="P10" s="575"/>
      <c r="Q10" s="554"/>
      <c r="R10" s="545"/>
      <c r="S10" s="563"/>
      <c r="T10" s="564"/>
      <c r="U10" s="564"/>
      <c r="V10" s="565"/>
      <c r="W10" s="229"/>
      <c r="X10" s="230" t="s">
        <v>135</v>
      </c>
      <c r="Y10" s="230">
        <v>25</v>
      </c>
      <c r="Z10" s="230"/>
      <c r="AA10" s="229"/>
      <c r="AB10" s="229"/>
      <c r="AC10" s="229"/>
      <c r="AD10" s="229"/>
      <c r="AE10" s="229"/>
    </row>
    <row r="11" spans="1:31" ht="13.5" thickBot="1">
      <c r="A11" s="225"/>
      <c r="B11" s="235" t="s">
        <v>50</v>
      </c>
      <c r="C11" s="236">
        <f>B5</f>
        <v>188</v>
      </c>
      <c r="D11" s="237" t="s">
        <v>36</v>
      </c>
      <c r="E11" s="237">
        <f>B4*1.4</f>
        <v>5.6</v>
      </c>
      <c r="F11" s="237" t="s">
        <v>6</v>
      </c>
      <c r="G11" s="237">
        <f>(E11*3600/1000)</f>
        <v>20.16</v>
      </c>
      <c r="H11" s="238" t="str">
        <f>H14</f>
        <v>km/h</v>
      </c>
      <c r="I11" s="578" t="s">
        <v>59</v>
      </c>
      <c r="J11" s="578"/>
      <c r="K11" s="578"/>
      <c r="L11" s="578"/>
      <c r="M11" s="570" t="s">
        <v>33</v>
      </c>
      <c r="N11" s="570"/>
      <c r="O11" s="584" t="s">
        <v>74</v>
      </c>
      <c r="P11" s="585" t="s">
        <v>75</v>
      </c>
      <c r="Q11" s="555" t="s">
        <v>72</v>
      </c>
      <c r="R11" s="534" t="s">
        <v>56</v>
      </c>
      <c r="S11" s="239">
        <f>P3</f>
        <v>50.4</v>
      </c>
      <c r="T11" s="240">
        <f>S11/3.5</f>
        <v>14.4</v>
      </c>
      <c r="U11" s="241">
        <f>(T11*3.5)*P4/200</f>
        <v>25.2</v>
      </c>
      <c r="V11" s="242" t="s">
        <v>98</v>
      </c>
      <c r="W11" s="243"/>
      <c r="X11" s="230" t="s">
        <v>136</v>
      </c>
      <c r="Y11" s="230">
        <v>20</v>
      </c>
      <c r="Z11" s="230"/>
      <c r="AA11" s="229"/>
      <c r="AB11" s="229"/>
      <c r="AC11" s="229"/>
      <c r="AD11" s="229"/>
      <c r="AE11" s="229"/>
    </row>
    <row r="12" spans="1:31" ht="13.5" thickBot="1">
      <c r="A12" s="225"/>
      <c r="B12" s="235"/>
      <c r="C12" s="236"/>
      <c r="D12" s="237"/>
      <c r="E12" s="237"/>
      <c r="F12" s="237"/>
      <c r="G12" s="237"/>
      <c r="H12" s="244"/>
      <c r="I12" s="578"/>
      <c r="J12" s="578"/>
      <c r="K12" s="578"/>
      <c r="L12" s="578"/>
      <c r="M12" s="570"/>
      <c r="N12" s="570"/>
      <c r="O12" s="584"/>
      <c r="P12" s="585"/>
      <c r="Q12" s="555"/>
      <c r="R12" s="535"/>
      <c r="S12" s="519"/>
      <c r="T12" s="520"/>
      <c r="U12" s="520"/>
      <c r="V12" s="521"/>
      <c r="W12" s="243"/>
      <c r="X12" s="230" t="s">
        <v>137</v>
      </c>
      <c r="Y12" s="230">
        <v>90</v>
      </c>
      <c r="Z12" s="230"/>
      <c r="AA12" s="229"/>
      <c r="AB12" s="229"/>
      <c r="AC12" s="229"/>
      <c r="AD12" s="229"/>
      <c r="AE12" s="229"/>
    </row>
    <row r="13" spans="1:31" ht="13.5" thickBot="1">
      <c r="A13" s="225"/>
      <c r="B13" s="235"/>
      <c r="C13" s="236"/>
      <c r="D13" s="237"/>
      <c r="E13" s="237"/>
      <c r="F13" s="237"/>
      <c r="G13" s="237"/>
      <c r="H13" s="244"/>
      <c r="I13" s="578"/>
      <c r="J13" s="578"/>
      <c r="K13" s="578"/>
      <c r="L13" s="578"/>
      <c r="M13" s="570"/>
      <c r="N13" s="570"/>
      <c r="O13" s="584"/>
      <c r="P13" s="585"/>
      <c r="Q13" s="555" t="s">
        <v>76</v>
      </c>
      <c r="R13" s="535"/>
      <c r="S13" s="519"/>
      <c r="T13" s="520"/>
      <c r="U13" s="520"/>
      <c r="V13" s="521"/>
      <c r="W13" s="243"/>
      <c r="X13" s="230" t="s">
        <v>138</v>
      </c>
      <c r="Y13" s="230">
        <v>30</v>
      </c>
      <c r="Z13" s="230"/>
      <c r="AA13" s="229"/>
      <c r="AB13" s="229"/>
      <c r="AC13" s="229"/>
      <c r="AD13" s="229"/>
      <c r="AE13" s="229"/>
    </row>
    <row r="14" spans="1:31" ht="13.5" thickBot="1">
      <c r="A14" s="225"/>
      <c r="B14" s="245" t="s">
        <v>51</v>
      </c>
      <c r="C14" s="246">
        <f>C15</f>
        <v>178.6</v>
      </c>
      <c r="D14" s="247" t="s">
        <v>37</v>
      </c>
      <c r="E14" s="247">
        <f>E15</f>
        <v>4.8</v>
      </c>
      <c r="F14" s="247" t="s">
        <v>6</v>
      </c>
      <c r="G14" s="247">
        <f>G15+0.1</f>
        <v>17.380000000000003</v>
      </c>
      <c r="H14" s="248" t="str">
        <f>H15</f>
        <v>km/h</v>
      </c>
      <c r="I14" s="579"/>
      <c r="J14" s="579"/>
      <c r="K14" s="579"/>
      <c r="L14" s="579"/>
      <c r="M14" s="571"/>
      <c r="N14" s="571"/>
      <c r="O14" s="584"/>
      <c r="P14" s="586"/>
      <c r="Q14" s="556"/>
      <c r="R14" s="536"/>
      <c r="S14" s="249">
        <f>(P3*0.9)</f>
        <v>45.36</v>
      </c>
      <c r="T14" s="250">
        <f>S14/3.5</f>
        <v>12.959999999999999</v>
      </c>
      <c r="U14" s="251">
        <f>(T14*3.5)*P4/200</f>
        <v>22.68</v>
      </c>
      <c r="V14" s="252" t="s">
        <v>98</v>
      </c>
      <c r="W14" s="243"/>
      <c r="X14" s="230"/>
      <c r="Y14" s="230"/>
      <c r="Z14" s="230"/>
      <c r="AA14" s="229"/>
      <c r="AB14" s="229"/>
      <c r="AC14" s="229"/>
      <c r="AD14" s="229"/>
      <c r="AE14" s="229"/>
    </row>
    <row r="15" spans="1:31" ht="13.5" thickBot="1">
      <c r="A15" s="225"/>
      <c r="B15" s="253" t="s">
        <v>50</v>
      </c>
      <c r="C15" s="254">
        <f>(B5*0.95)</f>
        <v>178.6</v>
      </c>
      <c r="D15" s="255" t="s">
        <v>36</v>
      </c>
      <c r="E15" s="255">
        <f>B4*1.2</f>
        <v>4.8</v>
      </c>
      <c r="F15" s="255" t="s">
        <v>6</v>
      </c>
      <c r="G15" s="255">
        <f>(E15*3600)/1000</f>
        <v>17.28</v>
      </c>
      <c r="H15" s="255" t="s">
        <v>38</v>
      </c>
      <c r="I15" s="256"/>
      <c r="J15" s="580" t="s">
        <v>58</v>
      </c>
      <c r="K15" s="580"/>
      <c r="L15" s="580"/>
      <c r="M15" s="580"/>
      <c r="N15" s="587" t="s">
        <v>94</v>
      </c>
      <c r="O15" s="589" t="s">
        <v>74</v>
      </c>
      <c r="P15" s="582" t="s">
        <v>65</v>
      </c>
      <c r="Q15" s="257" t="s">
        <v>66</v>
      </c>
      <c r="R15" s="258" t="s">
        <v>45</v>
      </c>
      <c r="S15" s="259">
        <f>S14</f>
        <v>45.36</v>
      </c>
      <c r="T15" s="260">
        <f>S15/3.5</f>
        <v>12.959999999999999</v>
      </c>
      <c r="U15" s="261">
        <f>U14</f>
        <v>22.68</v>
      </c>
      <c r="V15" s="262" t="s">
        <v>98</v>
      </c>
      <c r="W15" s="243"/>
      <c r="X15" s="230" t="s">
        <v>133</v>
      </c>
      <c r="Y15" s="230">
        <v>0</v>
      </c>
      <c r="Z15" s="230"/>
      <c r="AA15" s="229"/>
      <c r="AB15" s="229"/>
      <c r="AC15" s="229"/>
      <c r="AD15" s="229"/>
      <c r="AE15" s="229"/>
    </row>
    <row r="16" spans="1:31" ht="13.5" thickBot="1">
      <c r="A16" s="225"/>
      <c r="B16" s="253"/>
      <c r="C16" s="254"/>
      <c r="D16" s="255"/>
      <c r="E16" s="255"/>
      <c r="F16" s="255"/>
      <c r="G16" s="255"/>
      <c r="H16" s="255"/>
      <c r="I16" s="263"/>
      <c r="J16" s="580"/>
      <c r="K16" s="580"/>
      <c r="L16" s="580"/>
      <c r="M16" s="580"/>
      <c r="N16" s="587"/>
      <c r="O16" s="589"/>
      <c r="P16" s="582"/>
      <c r="Q16" s="257" t="s">
        <v>68</v>
      </c>
      <c r="R16" s="264" t="s">
        <v>48</v>
      </c>
      <c r="S16" s="522"/>
      <c r="T16" s="523"/>
      <c r="U16" s="523"/>
      <c r="V16" s="524"/>
      <c r="W16" s="243"/>
      <c r="X16" s="230" t="s">
        <v>134</v>
      </c>
      <c r="Y16" s="230">
        <v>14</v>
      </c>
      <c r="Z16" s="230"/>
      <c r="AA16" s="229"/>
      <c r="AB16" s="229"/>
      <c r="AC16" s="229"/>
      <c r="AD16" s="229"/>
      <c r="AE16" s="229"/>
    </row>
    <row r="17" spans="1:31" ht="13.5" thickBot="1">
      <c r="A17" s="225"/>
      <c r="B17" s="253"/>
      <c r="C17" s="254"/>
      <c r="D17" s="255"/>
      <c r="E17" s="255"/>
      <c r="F17" s="255"/>
      <c r="G17" s="255"/>
      <c r="H17" s="255"/>
      <c r="I17" s="263"/>
      <c r="J17" s="580"/>
      <c r="K17" s="580"/>
      <c r="L17" s="580"/>
      <c r="M17" s="580"/>
      <c r="N17" s="587"/>
      <c r="O17" s="589"/>
      <c r="P17" s="582" t="s">
        <v>73</v>
      </c>
      <c r="Q17" s="257" t="s">
        <v>72</v>
      </c>
      <c r="R17" s="264" t="s">
        <v>47</v>
      </c>
      <c r="S17" s="522"/>
      <c r="T17" s="523"/>
      <c r="U17" s="523"/>
      <c r="V17" s="524"/>
      <c r="W17" s="243"/>
      <c r="X17" s="230" t="s">
        <v>135</v>
      </c>
      <c r="Y17" s="230">
        <v>8</v>
      </c>
      <c r="Z17" s="230"/>
      <c r="AA17" s="229"/>
      <c r="AB17" s="229"/>
      <c r="AC17" s="229"/>
      <c r="AD17" s="229"/>
      <c r="AE17" s="229"/>
    </row>
    <row r="18" spans="1:31" ht="13.5" thickBot="1">
      <c r="A18" s="225"/>
      <c r="B18" s="265" t="s">
        <v>51</v>
      </c>
      <c r="C18" s="266">
        <f>C19</f>
        <v>169.20000000000002</v>
      </c>
      <c r="D18" s="267" t="s">
        <v>37</v>
      </c>
      <c r="E18" s="267">
        <f>E19</f>
        <v>3.6</v>
      </c>
      <c r="F18" s="267" t="s">
        <v>6</v>
      </c>
      <c r="G18" s="267">
        <f>(E18*3600)/1000+0.1</f>
        <v>13.06</v>
      </c>
      <c r="H18" s="267" t="s">
        <v>38</v>
      </c>
      <c r="I18" s="268"/>
      <c r="J18" s="581"/>
      <c r="K18" s="581"/>
      <c r="L18" s="581"/>
      <c r="M18" s="581"/>
      <c r="N18" s="588"/>
      <c r="O18" s="589"/>
      <c r="P18" s="583"/>
      <c r="Q18" s="269"/>
      <c r="R18" s="270" t="s">
        <v>46</v>
      </c>
      <c r="S18" s="271">
        <f>P3*0.83</f>
        <v>41.831999999999994</v>
      </c>
      <c r="T18" s="272">
        <f>S18/3.5</f>
        <v>11.951999999999998</v>
      </c>
      <c r="U18" s="273">
        <f>(T18*3.5)*P4/200</f>
        <v>20.915999999999993</v>
      </c>
      <c r="V18" s="274" t="s">
        <v>98</v>
      </c>
      <c r="W18" s="243"/>
      <c r="X18" s="230" t="s">
        <v>136</v>
      </c>
      <c r="Y18" s="230">
        <v>4</v>
      </c>
      <c r="Z18" s="230"/>
      <c r="AA18" s="229"/>
      <c r="AB18" s="229"/>
      <c r="AC18" s="229"/>
      <c r="AD18" s="229"/>
      <c r="AE18" s="229"/>
    </row>
    <row r="19" spans="1:31" ht="13.5" thickBot="1">
      <c r="A19" s="225"/>
      <c r="B19" s="275" t="s">
        <v>50</v>
      </c>
      <c r="C19" s="276">
        <f>(B5*0.9)</f>
        <v>169.20000000000002</v>
      </c>
      <c r="D19" s="277" t="s">
        <v>36</v>
      </c>
      <c r="E19" s="277">
        <f>B4*0.9</f>
        <v>3.6</v>
      </c>
      <c r="F19" s="277" t="s">
        <v>6</v>
      </c>
      <c r="G19" s="277">
        <f>(E19*3600)/1000</f>
        <v>12.96</v>
      </c>
      <c r="H19" s="277" t="s">
        <v>38</v>
      </c>
      <c r="I19" s="278"/>
      <c r="J19" s="279"/>
      <c r="K19" s="568" t="s">
        <v>211</v>
      </c>
      <c r="L19" s="568"/>
      <c r="M19" s="568"/>
      <c r="N19" s="568"/>
      <c r="O19" s="503" t="s">
        <v>71</v>
      </c>
      <c r="P19" s="504" t="s">
        <v>65</v>
      </c>
      <c r="Q19" s="280" t="s">
        <v>66</v>
      </c>
      <c r="R19" s="550" t="s">
        <v>44</v>
      </c>
      <c r="S19" s="281">
        <f>S18</f>
        <v>41.831999999999994</v>
      </c>
      <c r="T19" s="282">
        <f>S19/3.5</f>
        <v>11.951999999999998</v>
      </c>
      <c r="U19" s="283">
        <f>(T19*3.5)*P4/200</f>
        <v>20.915999999999993</v>
      </c>
      <c r="V19" s="284" t="s">
        <v>98</v>
      </c>
      <c r="W19" s="285"/>
      <c r="X19" s="230" t="s">
        <v>137</v>
      </c>
      <c r="Y19" s="230">
        <v>3</v>
      </c>
      <c r="Z19" s="230"/>
      <c r="AA19" s="229"/>
      <c r="AB19" s="229"/>
      <c r="AC19" s="229"/>
      <c r="AD19" s="229"/>
      <c r="AE19" s="229"/>
    </row>
    <row r="20" spans="1:31" ht="13.5" thickBot="1">
      <c r="A20" s="225"/>
      <c r="B20" s="275"/>
      <c r="C20" s="276"/>
      <c r="D20" s="277"/>
      <c r="E20" s="277"/>
      <c r="F20" s="277"/>
      <c r="G20" s="277"/>
      <c r="H20" s="277"/>
      <c r="I20" s="278"/>
      <c r="J20" s="286"/>
      <c r="K20" s="568"/>
      <c r="L20" s="568"/>
      <c r="M20" s="568"/>
      <c r="N20" s="568"/>
      <c r="O20" s="503"/>
      <c r="P20" s="504"/>
      <c r="Q20" s="280" t="s">
        <v>68</v>
      </c>
      <c r="R20" s="551"/>
      <c r="S20" s="525"/>
      <c r="T20" s="526"/>
      <c r="U20" s="526"/>
      <c r="V20" s="527"/>
      <c r="W20" s="243"/>
      <c r="X20" s="230" t="s">
        <v>138</v>
      </c>
      <c r="Y20" s="230">
        <v>2</v>
      </c>
      <c r="Z20" s="230"/>
      <c r="AA20" s="229"/>
      <c r="AB20" s="229"/>
      <c r="AC20" s="229"/>
      <c r="AD20" s="229"/>
      <c r="AE20" s="229"/>
    </row>
    <row r="21" spans="1:31" ht="13.5" thickBot="1">
      <c r="A21" s="225"/>
      <c r="B21" s="275"/>
      <c r="C21" s="276"/>
      <c r="D21" s="277"/>
      <c r="E21" s="277"/>
      <c r="F21" s="277"/>
      <c r="G21" s="277"/>
      <c r="H21" s="277"/>
      <c r="I21" s="278"/>
      <c r="J21" s="286"/>
      <c r="K21" s="568"/>
      <c r="L21" s="568"/>
      <c r="M21" s="568"/>
      <c r="N21" s="568"/>
      <c r="O21" s="503"/>
      <c r="P21" s="504"/>
      <c r="Q21" s="280" t="s">
        <v>72</v>
      </c>
      <c r="R21" s="551"/>
      <c r="S21" s="525"/>
      <c r="T21" s="526"/>
      <c r="U21" s="526"/>
      <c r="V21" s="527"/>
      <c r="W21" s="243"/>
      <c r="X21" s="230"/>
      <c r="Y21" s="230"/>
      <c r="Z21" s="230"/>
      <c r="AA21" s="229"/>
      <c r="AB21" s="229"/>
      <c r="AC21" s="229"/>
      <c r="AD21" s="229"/>
      <c r="AE21" s="229"/>
    </row>
    <row r="22" spans="1:31" ht="13.5" thickBot="1">
      <c r="A22" s="225"/>
      <c r="B22" s="287" t="s">
        <v>51</v>
      </c>
      <c r="C22" s="288">
        <f>C23</f>
        <v>150.4</v>
      </c>
      <c r="D22" s="289" t="s">
        <v>37</v>
      </c>
      <c r="E22" s="289">
        <f>E23+0.01</f>
        <v>3.21</v>
      </c>
      <c r="F22" s="289" t="s">
        <v>6</v>
      </c>
      <c r="G22" s="289">
        <f>G23+0.1</f>
        <v>11.62</v>
      </c>
      <c r="H22" s="289" t="str">
        <f>H23</f>
        <v>km/h</v>
      </c>
      <c r="I22" s="290"/>
      <c r="J22" s="290"/>
      <c r="K22" s="569"/>
      <c r="L22" s="569"/>
      <c r="M22" s="569"/>
      <c r="N22" s="569"/>
      <c r="O22" s="503"/>
      <c r="P22" s="505"/>
      <c r="Q22" s="291"/>
      <c r="R22" s="552"/>
      <c r="S22" s="292">
        <f>P3*0.7</f>
        <v>35.279999999999994</v>
      </c>
      <c r="T22" s="293">
        <f>S22/3.5</f>
        <v>10.079999999999998</v>
      </c>
      <c r="U22" s="294">
        <f>(T22*3.5)*P4/200</f>
        <v>17.639999999999997</v>
      </c>
      <c r="V22" s="295" t="s">
        <v>98</v>
      </c>
      <c r="W22" s="243"/>
      <c r="X22" s="230"/>
      <c r="Y22" s="230"/>
      <c r="Z22" s="230"/>
      <c r="AA22" s="229"/>
      <c r="AB22" s="229"/>
      <c r="AC22" s="229"/>
      <c r="AD22" s="229"/>
      <c r="AE22" s="229"/>
    </row>
    <row r="23" spans="1:31" ht="13.5" thickBot="1">
      <c r="A23" s="225"/>
      <c r="B23" s="296" t="s">
        <v>50</v>
      </c>
      <c r="C23" s="297">
        <f>(B5*0.8)</f>
        <v>150.4</v>
      </c>
      <c r="D23" s="298" t="s">
        <v>36</v>
      </c>
      <c r="E23" s="298">
        <f>(B4*0.8)</f>
        <v>3.2</v>
      </c>
      <c r="F23" s="298" t="s">
        <v>6</v>
      </c>
      <c r="G23" s="298">
        <f>(E23*3600)/1000</f>
        <v>11.52</v>
      </c>
      <c r="H23" s="298" t="s">
        <v>38</v>
      </c>
      <c r="I23" s="298"/>
      <c r="J23" s="299"/>
      <c r="K23" s="300"/>
      <c r="L23" s="537" t="s">
        <v>57</v>
      </c>
      <c r="M23" s="537"/>
      <c r="N23" s="512" t="s">
        <v>95</v>
      </c>
      <c r="O23" s="539" t="s">
        <v>69</v>
      </c>
      <c r="P23" s="514" t="s">
        <v>65</v>
      </c>
      <c r="Q23" s="301" t="s">
        <v>66</v>
      </c>
      <c r="R23" s="531" t="s">
        <v>49</v>
      </c>
      <c r="S23" s="302">
        <f>S22</f>
        <v>35.279999999999994</v>
      </c>
      <c r="T23" s="303">
        <f>S23/3.5</f>
        <v>10.079999999999998</v>
      </c>
      <c r="U23" s="304">
        <f>(T23*3.5)*P4/200</f>
        <v>17.639999999999997</v>
      </c>
      <c r="V23" s="305" t="s">
        <v>98</v>
      </c>
      <c r="W23" s="243"/>
      <c r="X23" s="230" t="s">
        <v>133</v>
      </c>
      <c r="Y23" s="306">
        <v>0</v>
      </c>
      <c r="Z23" s="230" t="s">
        <v>140</v>
      </c>
      <c r="AA23" s="229"/>
      <c r="AB23" s="229"/>
      <c r="AC23" s="229"/>
      <c r="AD23" s="229"/>
      <c r="AE23" s="229"/>
    </row>
    <row r="24" spans="1:31" ht="13.5" thickBot="1">
      <c r="A24" s="225"/>
      <c r="B24" s="296"/>
      <c r="C24" s="297"/>
      <c r="D24" s="298"/>
      <c r="E24" s="298"/>
      <c r="F24" s="298"/>
      <c r="G24" s="298"/>
      <c r="H24" s="298"/>
      <c r="I24" s="298"/>
      <c r="J24" s="299"/>
      <c r="K24" s="307"/>
      <c r="L24" s="537"/>
      <c r="M24" s="537"/>
      <c r="N24" s="512"/>
      <c r="O24" s="539"/>
      <c r="P24" s="514"/>
      <c r="Q24" s="301" t="s">
        <v>70</v>
      </c>
      <c r="R24" s="532"/>
      <c r="S24" s="528"/>
      <c r="T24" s="529"/>
      <c r="U24" s="529"/>
      <c r="V24" s="530"/>
      <c r="W24" s="243"/>
      <c r="X24" s="230" t="s">
        <v>134</v>
      </c>
      <c r="Y24" s="306">
        <f>U11</f>
        <v>25.2</v>
      </c>
      <c r="Z24" s="230" t="s">
        <v>140</v>
      </c>
      <c r="AA24" s="229"/>
      <c r="AB24" s="229"/>
      <c r="AC24" s="229"/>
      <c r="AD24" s="229"/>
      <c r="AE24" s="229"/>
    </row>
    <row r="25" spans="1:31" ht="13.5" thickBot="1">
      <c r="A25" s="225"/>
      <c r="B25" s="296"/>
      <c r="C25" s="297"/>
      <c r="D25" s="298"/>
      <c r="E25" s="298"/>
      <c r="F25" s="298"/>
      <c r="G25" s="298"/>
      <c r="H25" s="298"/>
      <c r="I25" s="298"/>
      <c r="J25" s="299"/>
      <c r="K25" s="307"/>
      <c r="L25" s="537"/>
      <c r="M25" s="537"/>
      <c r="N25" s="512"/>
      <c r="O25" s="539"/>
      <c r="P25" s="514"/>
      <c r="Q25" s="301" t="s">
        <v>68</v>
      </c>
      <c r="R25" s="532"/>
      <c r="S25" s="528"/>
      <c r="T25" s="529"/>
      <c r="U25" s="529"/>
      <c r="V25" s="530"/>
      <c r="W25" s="243"/>
      <c r="X25" s="230" t="s">
        <v>135</v>
      </c>
      <c r="Y25" s="306">
        <f>U15</f>
        <v>22.68</v>
      </c>
      <c r="Z25" s="230" t="s">
        <v>140</v>
      </c>
      <c r="AA25" s="229"/>
      <c r="AB25" s="229"/>
      <c r="AC25" s="229"/>
      <c r="AD25" s="229"/>
      <c r="AE25" s="229"/>
    </row>
    <row r="26" spans="1:31" ht="13.5" thickBot="1">
      <c r="A26" s="225"/>
      <c r="B26" s="296"/>
      <c r="C26" s="297"/>
      <c r="D26" s="298"/>
      <c r="E26" s="298"/>
      <c r="F26" s="298"/>
      <c r="G26" s="298"/>
      <c r="H26" s="298"/>
      <c r="I26" s="298"/>
      <c r="J26" s="299"/>
      <c r="K26" s="307"/>
      <c r="L26" s="537"/>
      <c r="M26" s="537"/>
      <c r="N26" s="512"/>
      <c r="O26" s="539"/>
      <c r="P26" s="514"/>
      <c r="Q26" s="301"/>
      <c r="R26" s="532"/>
      <c r="S26" s="528"/>
      <c r="T26" s="529"/>
      <c r="U26" s="529"/>
      <c r="V26" s="530"/>
      <c r="W26" s="243"/>
      <c r="X26" s="230" t="s">
        <v>136</v>
      </c>
      <c r="Y26" s="306">
        <f>U19</f>
        <v>20.915999999999993</v>
      </c>
      <c r="Z26" s="230" t="s">
        <v>140</v>
      </c>
      <c r="AA26" s="229"/>
      <c r="AB26" s="229"/>
      <c r="AC26" s="229"/>
      <c r="AD26" s="229"/>
      <c r="AE26" s="229"/>
    </row>
    <row r="27" spans="1:31" ht="13.5" thickBot="1">
      <c r="A27" s="225"/>
      <c r="B27" s="308" t="s">
        <v>51</v>
      </c>
      <c r="C27" s="309">
        <f>C28</f>
        <v>131.6</v>
      </c>
      <c r="D27" s="310" t="s">
        <v>37</v>
      </c>
      <c r="E27" s="311">
        <f>E28+0.01</f>
        <v>2.8099999999999996</v>
      </c>
      <c r="F27" s="310" t="s">
        <v>6</v>
      </c>
      <c r="G27" s="312">
        <f>(E27*3600)/1000+0.1</f>
        <v>10.215999999999998</v>
      </c>
      <c r="H27" s="310" t="s">
        <v>38</v>
      </c>
      <c r="I27" s="310"/>
      <c r="J27" s="313"/>
      <c r="K27" s="314"/>
      <c r="L27" s="538"/>
      <c r="M27" s="538"/>
      <c r="N27" s="513"/>
      <c r="O27" s="539"/>
      <c r="P27" s="515"/>
      <c r="Q27" s="315"/>
      <c r="R27" s="533"/>
      <c r="S27" s="316">
        <f>S28</f>
        <v>28.224</v>
      </c>
      <c r="T27" s="317">
        <f>S27/3.5</f>
        <v>8.0640000000000001</v>
      </c>
      <c r="U27" s="318">
        <f>(T27*3.5)*P4/200</f>
        <v>14.112</v>
      </c>
      <c r="V27" s="319" t="s">
        <v>98</v>
      </c>
      <c r="W27" s="243"/>
      <c r="X27" s="230" t="s">
        <v>137</v>
      </c>
      <c r="Y27" s="306">
        <f>U23</f>
        <v>17.639999999999997</v>
      </c>
      <c r="Z27" s="230" t="s">
        <v>140</v>
      </c>
      <c r="AA27" s="229"/>
      <c r="AB27" s="229"/>
      <c r="AC27" s="229"/>
      <c r="AD27" s="229"/>
      <c r="AE27" s="229"/>
    </row>
    <row r="28" spans="1:31" ht="15.75" customHeight="1" thickBot="1">
      <c r="A28" s="225"/>
      <c r="B28" s="320" t="s">
        <v>50</v>
      </c>
      <c r="C28" s="321">
        <f>(B5*0.7)</f>
        <v>131.6</v>
      </c>
      <c r="D28" s="322" t="s">
        <v>36</v>
      </c>
      <c r="E28" s="323">
        <f>(B4*0.7)</f>
        <v>2.8</v>
      </c>
      <c r="F28" s="322" t="s">
        <v>6</v>
      </c>
      <c r="G28" s="324">
        <f>(E28*3600)/1000</f>
        <v>10.08</v>
      </c>
      <c r="H28" s="322" t="s">
        <v>38</v>
      </c>
      <c r="I28" s="322"/>
      <c r="J28" s="322"/>
      <c r="K28" s="325"/>
      <c r="L28" s="326"/>
      <c r="M28" s="509" t="s">
        <v>212</v>
      </c>
      <c r="N28" s="509"/>
      <c r="O28" s="511" t="s">
        <v>64</v>
      </c>
      <c r="P28" s="506" t="s">
        <v>65</v>
      </c>
      <c r="Q28" s="327" t="s">
        <v>66</v>
      </c>
      <c r="R28" s="516" t="s">
        <v>43</v>
      </c>
      <c r="S28" s="328">
        <f>P3*0.56</f>
        <v>28.224</v>
      </c>
      <c r="T28" s="329">
        <f>S28/3.5</f>
        <v>8.0640000000000001</v>
      </c>
      <c r="U28" s="330">
        <f>(T28*3.5)*P4/200</f>
        <v>14.112</v>
      </c>
      <c r="V28" s="331" t="s">
        <v>98</v>
      </c>
      <c r="W28" s="243"/>
      <c r="X28" s="230" t="s">
        <v>138</v>
      </c>
      <c r="Y28" s="306">
        <f>U28</f>
        <v>14.112</v>
      </c>
      <c r="Z28" s="230" t="s">
        <v>140</v>
      </c>
      <c r="AA28" s="229"/>
      <c r="AB28" s="229"/>
      <c r="AC28" s="229"/>
      <c r="AD28" s="229"/>
      <c r="AE28" s="229"/>
    </row>
    <row r="29" spans="1:31" ht="13.5" thickBot="1">
      <c r="A29" s="225"/>
      <c r="B29" s="332"/>
      <c r="C29" s="333"/>
      <c r="D29" s="322"/>
      <c r="E29" s="334"/>
      <c r="F29" s="322"/>
      <c r="G29" s="324"/>
      <c r="H29" s="322"/>
      <c r="I29" s="322"/>
      <c r="J29" s="322"/>
      <c r="K29" s="325"/>
      <c r="L29" s="335"/>
      <c r="M29" s="509"/>
      <c r="N29" s="509"/>
      <c r="O29" s="511"/>
      <c r="P29" s="507"/>
      <c r="Q29" s="336" t="s">
        <v>67</v>
      </c>
      <c r="R29" s="517"/>
      <c r="S29" s="328"/>
      <c r="T29" s="328"/>
      <c r="U29" s="337"/>
      <c r="V29" s="338"/>
      <c r="W29" s="229"/>
      <c r="X29" s="230"/>
      <c r="Y29" s="230"/>
      <c r="Z29" s="230"/>
      <c r="AA29" s="229"/>
      <c r="AB29" s="229"/>
      <c r="AC29" s="229"/>
      <c r="AD29" s="229"/>
      <c r="AE29" s="229"/>
    </row>
    <row r="30" spans="1:31" ht="13.5" thickBot="1">
      <c r="A30" s="225"/>
      <c r="B30" s="332"/>
      <c r="C30" s="333"/>
      <c r="D30" s="322"/>
      <c r="E30" s="334"/>
      <c r="F30" s="322"/>
      <c r="G30" s="324"/>
      <c r="H30" s="322"/>
      <c r="I30" s="322"/>
      <c r="J30" s="322"/>
      <c r="K30" s="325"/>
      <c r="L30" s="335"/>
      <c r="M30" s="509"/>
      <c r="N30" s="509"/>
      <c r="O30" s="511"/>
      <c r="P30" s="507"/>
      <c r="Q30" s="336" t="s">
        <v>68</v>
      </c>
      <c r="R30" s="517"/>
      <c r="S30" s="328"/>
      <c r="T30" s="328"/>
      <c r="U30" s="339"/>
      <c r="V30" s="338"/>
      <c r="W30" s="229"/>
      <c r="X30" s="230"/>
      <c r="Y30" s="230"/>
      <c r="Z30" s="230"/>
      <c r="AA30" s="229"/>
      <c r="AB30" s="229"/>
      <c r="AC30" s="229"/>
      <c r="AD30" s="229"/>
      <c r="AE30" s="229"/>
    </row>
    <row r="31" spans="1:31" ht="13.5" thickBot="1">
      <c r="A31" s="225"/>
      <c r="B31" s="332"/>
      <c r="C31" s="333"/>
      <c r="D31" s="322"/>
      <c r="E31" s="334"/>
      <c r="F31" s="322"/>
      <c r="G31" s="324"/>
      <c r="H31" s="322"/>
      <c r="I31" s="322"/>
      <c r="J31" s="322"/>
      <c r="K31" s="325"/>
      <c r="L31" s="335"/>
      <c r="M31" s="509"/>
      <c r="N31" s="509"/>
      <c r="O31" s="511"/>
      <c r="P31" s="507"/>
      <c r="Q31" s="336"/>
      <c r="R31" s="517"/>
      <c r="S31" s="328"/>
      <c r="T31" s="328"/>
      <c r="U31" s="339"/>
      <c r="V31" s="338"/>
      <c r="W31" s="229"/>
      <c r="X31" s="230"/>
      <c r="Y31" s="230"/>
      <c r="Z31" s="230"/>
      <c r="AA31" s="229"/>
      <c r="AB31" s="229"/>
      <c r="AC31" s="229"/>
      <c r="AD31" s="229"/>
      <c r="AE31" s="229"/>
    </row>
    <row r="32" spans="1:31" ht="13.5" thickBot="1">
      <c r="A32" s="225"/>
      <c r="B32" s="340"/>
      <c r="C32" s="341"/>
      <c r="D32" s="342" t="s">
        <v>37</v>
      </c>
      <c r="E32" s="343">
        <f>B4*0.45</f>
        <v>1.8</v>
      </c>
      <c r="F32" s="344" t="s">
        <v>6</v>
      </c>
      <c r="G32" s="345">
        <f>(E32*3600)/1000</f>
        <v>6.48</v>
      </c>
      <c r="H32" s="342" t="s">
        <v>38</v>
      </c>
      <c r="I32" s="342"/>
      <c r="J32" s="342"/>
      <c r="K32" s="346"/>
      <c r="L32" s="347"/>
      <c r="M32" s="510"/>
      <c r="N32" s="510"/>
      <c r="O32" s="511"/>
      <c r="P32" s="508"/>
      <c r="Q32" s="348"/>
      <c r="R32" s="518"/>
      <c r="S32" s="349"/>
      <c r="T32" s="350"/>
      <c r="U32" s="351"/>
      <c r="V32" s="352"/>
      <c r="W32" s="229"/>
      <c r="X32" s="230"/>
      <c r="Y32" s="230"/>
      <c r="Z32" s="230"/>
      <c r="AA32" s="229"/>
      <c r="AB32" s="229"/>
      <c r="AC32" s="229"/>
      <c r="AD32" s="229"/>
      <c r="AE32" s="229"/>
    </row>
    <row r="33" spans="1:31">
      <c r="A33" s="229"/>
      <c r="B33" s="229"/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30"/>
      <c r="Y33" s="230"/>
      <c r="Z33" s="230"/>
      <c r="AA33" s="229"/>
      <c r="AB33" s="229"/>
      <c r="AC33" s="229"/>
      <c r="AD33" s="229"/>
      <c r="AE33" s="229"/>
    </row>
    <row r="60" spans="12:12">
      <c r="L60" s="110"/>
    </row>
  </sheetData>
  <sheetProtection algorithmName="SHA-512" hashValue="h2WnsoHqKsp7xQhQ6K8wSb/VRsc0luZHrQJC0WYpqP0loR7FpoZJDlgsIzXsF/k6lDYjkXd+JgdAeclvhGQBSg==" saltValue="9o2Rja10DBtCWmsxMgSxDQ==" spinCount="100000" sheet="1" objects="1" scenarios="1"/>
  <mergeCells count="41">
    <mergeCell ref="O15:O18"/>
    <mergeCell ref="Q11:Q12"/>
    <mergeCell ref="Q13:Q14"/>
    <mergeCell ref="S7:V10"/>
    <mergeCell ref="I5:N6"/>
    <mergeCell ref="K19:N22"/>
    <mergeCell ref="M11:N14"/>
    <mergeCell ref="O7:O10"/>
    <mergeCell ref="P7:P10"/>
    <mergeCell ref="H7:K10"/>
    <mergeCell ref="I11:L14"/>
    <mergeCell ref="J15:M18"/>
    <mergeCell ref="P15:P16"/>
    <mergeCell ref="P17:P18"/>
    <mergeCell ref="O11:O14"/>
    <mergeCell ref="P11:P14"/>
    <mergeCell ref="N15:N18"/>
    <mergeCell ref="L7:N10"/>
    <mergeCell ref="R7:R10"/>
    <mergeCell ref="S4:V4"/>
    <mergeCell ref="R6:S6"/>
    <mergeCell ref="U6:V6"/>
    <mergeCell ref="Q4:R4"/>
    <mergeCell ref="Q7:Q10"/>
    <mergeCell ref="R28:R32"/>
    <mergeCell ref="S12:V13"/>
    <mergeCell ref="S16:V17"/>
    <mergeCell ref="S20:V21"/>
    <mergeCell ref="S24:V26"/>
    <mergeCell ref="R23:R27"/>
    <mergeCell ref="R11:R14"/>
    <mergeCell ref="R19:R22"/>
    <mergeCell ref="O19:O22"/>
    <mergeCell ref="P19:P22"/>
    <mergeCell ref="P28:P32"/>
    <mergeCell ref="M28:N32"/>
    <mergeCell ref="O28:O32"/>
    <mergeCell ref="N23:N27"/>
    <mergeCell ref="P23:P27"/>
    <mergeCell ref="L23:M27"/>
    <mergeCell ref="O23:O27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9" tint="-0.249977111117893"/>
  </sheetPr>
  <dimension ref="A1:U42"/>
  <sheetViews>
    <sheetView showGridLines="0" showRowColHeaders="0" workbookViewId="0">
      <selection sqref="A1:C1"/>
    </sheetView>
  </sheetViews>
  <sheetFormatPr baseColWidth="10" defaultRowHeight="12.75"/>
  <cols>
    <col min="1" max="1" width="11.42578125" style="18"/>
    <col min="2" max="2" width="7.5703125" style="18" customWidth="1"/>
    <col min="3" max="4" width="6.7109375" style="18" customWidth="1"/>
    <col min="5" max="5" width="8.140625" style="18" customWidth="1"/>
    <col min="6" max="8" width="7.7109375" style="18" customWidth="1"/>
    <col min="9" max="9" width="8.42578125" style="18" customWidth="1"/>
    <col min="10" max="10" width="8.5703125" style="18" customWidth="1"/>
    <col min="11" max="11" width="9.7109375" style="18" customWidth="1"/>
    <col min="12" max="12" width="7.7109375" style="18" customWidth="1"/>
    <col min="13" max="13" width="8.140625" style="18" customWidth="1"/>
    <col min="14" max="15" width="7.7109375" style="18" customWidth="1"/>
    <col min="16" max="16" width="7.5703125" style="18" customWidth="1"/>
    <col min="17" max="16384" width="11.42578125" style="18"/>
  </cols>
  <sheetData>
    <row r="1" spans="1:15">
      <c r="A1" s="593" t="s">
        <v>195</v>
      </c>
      <c r="B1" s="593"/>
      <c r="C1" s="593"/>
      <c r="D1" s="594" t="str">
        <f>'.'!H13</f>
        <v>JIMMY INTRIAGO</v>
      </c>
      <c r="E1" s="594"/>
      <c r="F1" s="594"/>
      <c r="G1" s="594"/>
      <c r="H1" s="594"/>
      <c r="I1" s="593" t="s">
        <v>199</v>
      </c>
      <c r="J1" s="593"/>
      <c r="K1" s="593"/>
      <c r="L1" s="38">
        <f>'.'!H22</f>
        <v>3.7</v>
      </c>
      <c r="M1" s="19" t="s">
        <v>81</v>
      </c>
    </row>
    <row r="2" spans="1:15">
      <c r="A2" s="593" t="s">
        <v>196</v>
      </c>
      <c r="B2" s="593"/>
      <c r="C2" s="593"/>
      <c r="D2" s="38">
        <f>'.'!H15</f>
        <v>100</v>
      </c>
      <c r="E2" s="19" t="s">
        <v>165</v>
      </c>
      <c r="F2" s="17"/>
      <c r="I2" s="593" t="s">
        <v>200</v>
      </c>
      <c r="J2" s="593"/>
      <c r="K2" s="593"/>
      <c r="L2" s="39">
        <f>'.'!H25</f>
        <v>188</v>
      </c>
      <c r="M2" s="19" t="s">
        <v>167</v>
      </c>
    </row>
    <row r="3" spans="1:15">
      <c r="A3" s="593" t="s">
        <v>197</v>
      </c>
      <c r="B3" s="593"/>
      <c r="C3" s="593"/>
      <c r="D3" s="39">
        <f>'.'!H17</f>
        <v>50.4</v>
      </c>
      <c r="E3" s="19" t="s">
        <v>166</v>
      </c>
      <c r="F3" s="17"/>
      <c r="I3" s="593" t="s">
        <v>201</v>
      </c>
      <c r="J3" s="593"/>
      <c r="K3" s="593"/>
      <c r="L3" s="40">
        <f>'.'!H30</f>
        <v>14.4</v>
      </c>
      <c r="M3" s="19" t="s">
        <v>38</v>
      </c>
      <c r="N3" s="41">
        <f>'.'!H32</f>
        <v>4</v>
      </c>
      <c r="O3" s="18" t="s">
        <v>6</v>
      </c>
    </row>
    <row r="4" spans="1:15">
      <c r="A4" s="593" t="s">
        <v>198</v>
      </c>
      <c r="B4" s="593"/>
      <c r="C4" s="593"/>
      <c r="D4" s="39">
        <f>'.'!H19</f>
        <v>1000</v>
      </c>
      <c r="E4" s="19" t="s">
        <v>53</v>
      </c>
      <c r="F4" s="17"/>
      <c r="I4" s="593" t="s">
        <v>202</v>
      </c>
      <c r="J4" s="593"/>
      <c r="K4" s="593"/>
      <c r="L4" s="39">
        <f>'.'!H33</f>
        <v>25</v>
      </c>
      <c r="M4" s="19" t="s">
        <v>28</v>
      </c>
    </row>
    <row r="5" spans="1:15">
      <c r="A5" s="598" t="s">
        <v>203</v>
      </c>
      <c r="B5" s="598"/>
      <c r="C5" s="598"/>
      <c r="D5" s="598"/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</row>
    <row r="6" spans="1:15" ht="13.5" thickBot="1">
      <c r="A6" s="599"/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</row>
    <row r="7" spans="1:15">
      <c r="A7" s="34" t="s">
        <v>169</v>
      </c>
      <c r="B7" s="35" t="s">
        <v>168</v>
      </c>
      <c r="C7" s="36" t="s">
        <v>5</v>
      </c>
      <c r="D7" s="36" t="s">
        <v>6</v>
      </c>
      <c r="E7" s="36" t="s">
        <v>177</v>
      </c>
      <c r="F7" s="36" t="s">
        <v>176</v>
      </c>
      <c r="G7" s="36" t="s">
        <v>178</v>
      </c>
      <c r="H7" s="36" t="s">
        <v>179</v>
      </c>
      <c r="I7" s="36" t="s">
        <v>180</v>
      </c>
      <c r="J7" s="36" t="s">
        <v>181</v>
      </c>
      <c r="K7" s="36" t="s">
        <v>182</v>
      </c>
      <c r="L7" s="36" t="s">
        <v>183</v>
      </c>
      <c r="M7" s="36" t="s">
        <v>184</v>
      </c>
      <c r="N7" s="36" t="s">
        <v>185</v>
      </c>
      <c r="O7" s="37">
        <f>'='!R12</f>
        <v>1100</v>
      </c>
    </row>
    <row r="8" spans="1:15">
      <c r="A8" s="592" t="s">
        <v>170</v>
      </c>
      <c r="B8" s="20">
        <f>'='!B13</f>
        <v>121.72999999999999</v>
      </c>
      <c r="C8" s="21">
        <f>'='!F13</f>
        <v>5.7600000000000007</v>
      </c>
      <c r="D8" s="21">
        <f>'='!G13</f>
        <v>1.6</v>
      </c>
      <c r="E8" s="22">
        <f>'='!H13</f>
        <v>1.4467592592592592E-3</v>
      </c>
      <c r="F8" s="22">
        <f>'='!I13</f>
        <v>2.170138888888889E-3</v>
      </c>
      <c r="G8" s="22">
        <f>'='!J13</f>
        <v>2.8935185185185184E-3</v>
      </c>
      <c r="H8" s="22">
        <f>'='!K13</f>
        <v>3.6168981481481482E-3</v>
      </c>
      <c r="I8" s="22">
        <f>'='!L13</f>
        <v>4.340277777777778E-3</v>
      </c>
      <c r="J8" s="22">
        <f>'='!M13</f>
        <v>5.0636574074074073E-3</v>
      </c>
      <c r="K8" s="22">
        <f>'='!N13</f>
        <v>5.7870370370370367E-3</v>
      </c>
      <c r="L8" s="22">
        <f>'='!O13</f>
        <v>6.510416666666667E-3</v>
      </c>
      <c r="M8" s="22">
        <f>'='!P13</f>
        <v>7.2337962962962963E-3</v>
      </c>
      <c r="N8" s="22">
        <f>'='!Q13</f>
        <v>7.9571759259259266E-3</v>
      </c>
      <c r="O8" s="23">
        <f>'='!R13</f>
        <v>7.9571759259259266E-3</v>
      </c>
    </row>
    <row r="9" spans="1:15">
      <c r="A9" s="592"/>
      <c r="B9" s="20">
        <f>'='!B14</f>
        <v>125.02</v>
      </c>
      <c r="C9" s="21">
        <f>'='!F14</f>
        <v>6.48</v>
      </c>
      <c r="D9" s="21">
        <f>'='!G14</f>
        <v>1.8</v>
      </c>
      <c r="E9" s="22">
        <f>'='!H14</f>
        <v>1.2860082304526749E-3</v>
      </c>
      <c r="F9" s="22">
        <f>'='!I14</f>
        <v>1.9290123456790122E-3</v>
      </c>
      <c r="G9" s="22">
        <f>'='!J14</f>
        <v>2.5720164609053498E-3</v>
      </c>
      <c r="H9" s="22">
        <f>'='!K14</f>
        <v>3.2150205761316874E-3</v>
      </c>
      <c r="I9" s="22">
        <f>'='!L14</f>
        <v>3.8580246913580245E-3</v>
      </c>
      <c r="J9" s="22">
        <f>'='!M14</f>
        <v>4.5010288065843616E-3</v>
      </c>
      <c r="K9" s="22">
        <f>'='!N14</f>
        <v>5.1440329218106996E-3</v>
      </c>
      <c r="L9" s="22">
        <f>'='!O14</f>
        <v>5.7870370370370367E-3</v>
      </c>
      <c r="M9" s="22">
        <f>'='!P14</f>
        <v>6.4300411522633747E-3</v>
      </c>
      <c r="N9" s="22">
        <f>'='!Q14</f>
        <v>7.0730452674897118E-3</v>
      </c>
      <c r="O9" s="23">
        <f>'='!R14</f>
        <v>7.0730452674897118E-3</v>
      </c>
    </row>
    <row r="10" spans="1:15">
      <c r="A10" s="592"/>
      <c r="B10" s="20">
        <f>'='!B15</f>
        <v>128.31</v>
      </c>
      <c r="C10" s="21">
        <f>'='!F15</f>
        <v>6.9119999999999999</v>
      </c>
      <c r="D10" s="21">
        <f>'='!G15</f>
        <v>1.92</v>
      </c>
      <c r="E10" s="22">
        <f>'='!H15</f>
        <v>1.2056327160493829E-3</v>
      </c>
      <c r="F10" s="22">
        <f>'='!I15</f>
        <v>1.8084490740740741E-3</v>
      </c>
      <c r="G10" s="22">
        <f>'='!J15</f>
        <v>2.4112654320987657E-3</v>
      </c>
      <c r="H10" s="22">
        <f>'='!K15</f>
        <v>3.0140817901234572E-3</v>
      </c>
      <c r="I10" s="22">
        <f>'='!L15</f>
        <v>3.6168981481481482E-3</v>
      </c>
      <c r="J10" s="22">
        <f>'='!M15</f>
        <v>4.21971450617284E-3</v>
      </c>
      <c r="K10" s="22">
        <f>'='!N15</f>
        <v>4.8225308641975315E-3</v>
      </c>
      <c r="L10" s="22">
        <f>'='!O15</f>
        <v>5.425347222222222E-3</v>
      </c>
      <c r="M10" s="22">
        <f>'='!P15</f>
        <v>6.0281635802469143E-3</v>
      </c>
      <c r="N10" s="22">
        <f>'='!Q15</f>
        <v>6.6309799382716058E-3</v>
      </c>
      <c r="O10" s="23">
        <f>'='!R15</f>
        <v>6.6309799382716058E-3</v>
      </c>
    </row>
    <row r="11" spans="1:15">
      <c r="A11" s="592"/>
      <c r="B11" s="20">
        <f>'='!B16</f>
        <v>131.6</v>
      </c>
      <c r="C11" s="21">
        <f>'='!F16</f>
        <v>7.2</v>
      </c>
      <c r="D11" s="21">
        <f>'='!G16</f>
        <v>2</v>
      </c>
      <c r="E11" s="22">
        <f>'='!H16</f>
        <v>1.1574074074074073E-3</v>
      </c>
      <c r="F11" s="22">
        <f>'='!I16</f>
        <v>1.736111111111111E-3</v>
      </c>
      <c r="G11" s="22">
        <f>'='!J16</f>
        <v>2.3148148148148147E-3</v>
      </c>
      <c r="H11" s="22">
        <f>'='!K16</f>
        <v>2.8935185185185184E-3</v>
      </c>
      <c r="I11" s="22">
        <f>'='!L16</f>
        <v>3.472222222222222E-3</v>
      </c>
      <c r="J11" s="22">
        <f>'='!M16</f>
        <v>4.0509259259259257E-3</v>
      </c>
      <c r="K11" s="22">
        <f>'='!N16</f>
        <v>4.6296296296296294E-3</v>
      </c>
      <c r="L11" s="22">
        <f>'='!O16</f>
        <v>5.208333333333333E-3</v>
      </c>
      <c r="M11" s="22">
        <f>'='!P16</f>
        <v>5.7870370370370367E-3</v>
      </c>
      <c r="N11" s="22">
        <f>'='!Q16</f>
        <v>6.3657407407407404E-3</v>
      </c>
      <c r="O11" s="23">
        <f>'='!R16</f>
        <v>6.3657407407407404E-3</v>
      </c>
    </row>
    <row r="12" spans="1:15">
      <c r="A12" s="592" t="s">
        <v>171</v>
      </c>
      <c r="B12" s="20">
        <f>'='!B17</f>
        <v>134.88999999999999</v>
      </c>
      <c r="C12" s="21">
        <f>'='!F17</f>
        <v>7.9200000000000008</v>
      </c>
      <c r="D12" s="21">
        <f>'='!G17</f>
        <v>2.2000000000000002</v>
      </c>
      <c r="E12" s="22">
        <f>'='!H17</f>
        <v>1.0521885521885522E-3</v>
      </c>
      <c r="F12" s="22">
        <f>'='!I17</f>
        <v>1.578282828282828E-3</v>
      </c>
      <c r="G12" s="22">
        <f>'='!J17</f>
        <v>2.1043771043771043E-3</v>
      </c>
      <c r="H12" s="22">
        <f>'='!K17</f>
        <v>2.6304713804713802E-3</v>
      </c>
      <c r="I12" s="22">
        <f>'='!L17</f>
        <v>3.1565656565656561E-3</v>
      </c>
      <c r="J12" s="22">
        <f>'='!M17</f>
        <v>3.6826599326599319E-3</v>
      </c>
      <c r="K12" s="22">
        <f>'='!N17</f>
        <v>4.2087542087542087E-3</v>
      </c>
      <c r="L12" s="22">
        <f>'='!O17</f>
        <v>4.734848484848485E-3</v>
      </c>
      <c r="M12" s="22">
        <f>'='!P17</f>
        <v>5.2609427609427604E-3</v>
      </c>
      <c r="N12" s="22">
        <f>'='!Q17</f>
        <v>5.7870370370370367E-3</v>
      </c>
      <c r="O12" s="23">
        <f>'='!R17</f>
        <v>5.7870370370370367E-3</v>
      </c>
    </row>
    <row r="13" spans="1:15">
      <c r="A13" s="592"/>
      <c r="B13" s="20">
        <f>'='!B18</f>
        <v>138.17999999999998</v>
      </c>
      <c r="C13" s="21">
        <f>'='!F18</f>
        <v>8.64</v>
      </c>
      <c r="D13" s="21">
        <f>'='!G18</f>
        <v>2.4</v>
      </c>
      <c r="E13" s="22">
        <f>'='!H18</f>
        <v>9.6450617283950634E-4</v>
      </c>
      <c r="F13" s="22">
        <f>'='!I18</f>
        <v>1.4467592592592592E-3</v>
      </c>
      <c r="G13" s="22">
        <f>'='!J18</f>
        <v>1.9290123456790127E-3</v>
      </c>
      <c r="H13" s="22">
        <f>'='!K18</f>
        <v>2.4112654320987657E-3</v>
      </c>
      <c r="I13" s="22">
        <f>'='!L18</f>
        <v>2.8935185185185184E-3</v>
      </c>
      <c r="J13" s="22">
        <f>'='!M18</f>
        <v>3.3757716049382719E-3</v>
      </c>
      <c r="K13" s="22">
        <f>'='!N18</f>
        <v>3.8580246913580253E-3</v>
      </c>
      <c r="L13" s="22">
        <f>'='!O18</f>
        <v>4.340277777777778E-3</v>
      </c>
      <c r="M13" s="22">
        <f>'='!P18</f>
        <v>4.8225308641975315E-3</v>
      </c>
      <c r="N13" s="22">
        <f>'='!Q18</f>
        <v>5.3047839506172841E-3</v>
      </c>
      <c r="O13" s="23">
        <f>'='!R18</f>
        <v>5.3047839506172841E-3</v>
      </c>
    </row>
    <row r="14" spans="1:15">
      <c r="A14" s="592"/>
      <c r="B14" s="20">
        <f>'='!B19</f>
        <v>142.46999999999997</v>
      </c>
      <c r="C14" s="21">
        <f>'='!F19</f>
        <v>9.3600000000000012</v>
      </c>
      <c r="D14" s="21">
        <f>'='!G19</f>
        <v>2.6</v>
      </c>
      <c r="E14" s="22">
        <f>'='!H19</f>
        <v>8.9031339031339022E-4</v>
      </c>
      <c r="F14" s="22">
        <f>'='!I19</f>
        <v>1.3354700854700855E-3</v>
      </c>
      <c r="G14" s="22">
        <f>'='!J19</f>
        <v>1.7806267806267804E-3</v>
      </c>
      <c r="H14" s="22">
        <f>'='!K19</f>
        <v>2.2257834757834754E-3</v>
      </c>
      <c r="I14" s="22">
        <f>'='!L19</f>
        <v>2.670940170940171E-3</v>
      </c>
      <c r="J14" s="22">
        <f>'='!M19</f>
        <v>3.1160968660968662E-3</v>
      </c>
      <c r="K14" s="22">
        <f>'='!N19</f>
        <v>3.5612535612535609E-3</v>
      </c>
      <c r="L14" s="22">
        <f>'='!O19</f>
        <v>4.0064102564102561E-3</v>
      </c>
      <c r="M14" s="22">
        <f>'='!P19</f>
        <v>4.4515669515669508E-3</v>
      </c>
      <c r="N14" s="22">
        <f>'='!Q19</f>
        <v>4.8967236467236464E-3</v>
      </c>
      <c r="O14" s="23">
        <f>'='!R19</f>
        <v>4.8967236467236464E-3</v>
      </c>
    </row>
    <row r="15" spans="1:15">
      <c r="A15" s="592"/>
      <c r="B15" s="20">
        <f>'='!B20</f>
        <v>150.4</v>
      </c>
      <c r="C15" s="21">
        <f>'='!F20</f>
        <v>10.08</v>
      </c>
      <c r="D15" s="21">
        <f>'='!G20</f>
        <v>2.8</v>
      </c>
      <c r="E15" s="22">
        <f>'='!H20</f>
        <v>8.2671957671957678E-4</v>
      </c>
      <c r="F15" s="22">
        <f>'='!I20</f>
        <v>1.2400793650793652E-3</v>
      </c>
      <c r="G15" s="22">
        <f>'='!J20</f>
        <v>1.6534391534391536E-3</v>
      </c>
      <c r="H15" s="22">
        <f>'='!K20</f>
        <v>2.0667989417989421E-3</v>
      </c>
      <c r="I15" s="22">
        <f>'='!L20</f>
        <v>2.4801587301587305E-3</v>
      </c>
      <c r="J15" s="22">
        <f>'='!M20</f>
        <v>2.8935185185185188E-3</v>
      </c>
      <c r="K15" s="22">
        <f>'='!N20</f>
        <v>3.3068783068783071E-3</v>
      </c>
      <c r="L15" s="22">
        <f>'='!O20</f>
        <v>3.7202380952380955E-3</v>
      </c>
      <c r="M15" s="22">
        <f>'='!P20</f>
        <v>4.1335978835978842E-3</v>
      </c>
      <c r="N15" s="22">
        <f>'='!Q20</f>
        <v>4.5469576719576726E-3</v>
      </c>
      <c r="O15" s="23">
        <f>'='!R20</f>
        <v>4.5469576719576726E-3</v>
      </c>
    </row>
    <row r="16" spans="1:15">
      <c r="A16" s="592" t="s">
        <v>172</v>
      </c>
      <c r="B16" s="20">
        <f>'='!B21</f>
        <v>156.51000000000005</v>
      </c>
      <c r="C16" s="21">
        <f>'='!F21</f>
        <v>10.8</v>
      </c>
      <c r="D16" s="21">
        <f>'='!G21</f>
        <v>3</v>
      </c>
      <c r="E16" s="22">
        <f>'='!H21</f>
        <v>7.71604938271605E-4</v>
      </c>
      <c r="F16" s="22">
        <f>'='!I21</f>
        <v>1.1574074074074073E-3</v>
      </c>
      <c r="G16" s="22">
        <f>'='!J21</f>
        <v>1.54320987654321E-3</v>
      </c>
      <c r="H16" s="22">
        <f>'='!K21</f>
        <v>1.9290123456790122E-3</v>
      </c>
      <c r="I16" s="22">
        <f>'='!L21</f>
        <v>2.3148148148148147E-3</v>
      </c>
      <c r="J16" s="22">
        <f>'='!M21</f>
        <v>2.7006172839506176E-3</v>
      </c>
      <c r="K16" s="22">
        <f>'='!N21</f>
        <v>3.08641975308642E-3</v>
      </c>
      <c r="L16" s="22">
        <f>'='!O21</f>
        <v>3.472222222222222E-3</v>
      </c>
      <c r="M16" s="22">
        <f>'='!P21</f>
        <v>3.8580246913580245E-3</v>
      </c>
      <c r="N16" s="22">
        <f>'='!Q21</f>
        <v>4.2438271604938278E-3</v>
      </c>
      <c r="O16" s="23">
        <f>'='!R21</f>
        <v>4.2438271604938278E-3</v>
      </c>
    </row>
    <row r="17" spans="1:21">
      <c r="A17" s="592"/>
      <c r="B17" s="20">
        <f>'='!B22</f>
        <v>160.74000000000004</v>
      </c>
      <c r="C17" s="21">
        <f>'='!F22</f>
        <v>11.520000000000001</v>
      </c>
      <c r="D17" s="21">
        <f>'='!G22</f>
        <v>3.2</v>
      </c>
      <c r="E17" s="22">
        <f>'='!H22</f>
        <v>7.2337962962962959E-4</v>
      </c>
      <c r="F17" s="22">
        <f>'='!I22</f>
        <v>1.0850694444444445E-3</v>
      </c>
      <c r="G17" s="22">
        <f>'='!J22</f>
        <v>1.4467592592592592E-3</v>
      </c>
      <c r="H17" s="22">
        <f>'='!K22</f>
        <v>1.8084490740740741E-3</v>
      </c>
      <c r="I17" s="22">
        <f>'='!L22</f>
        <v>2.170138888888889E-3</v>
      </c>
      <c r="J17" s="22">
        <f>'='!M22</f>
        <v>2.5318287037037037E-3</v>
      </c>
      <c r="K17" s="22">
        <f>'='!N22</f>
        <v>2.8935185185185184E-3</v>
      </c>
      <c r="L17" s="22">
        <f>'='!O22</f>
        <v>3.2552083333333335E-3</v>
      </c>
      <c r="M17" s="22">
        <f>'='!P22</f>
        <v>3.6168981481481482E-3</v>
      </c>
      <c r="N17" s="22">
        <f>'='!Q22</f>
        <v>3.9785879629629633E-3</v>
      </c>
      <c r="O17" s="23">
        <f>'='!R22</f>
        <v>3.9785879629629633E-3</v>
      </c>
    </row>
    <row r="18" spans="1:21">
      <c r="A18" s="592"/>
      <c r="B18" s="20">
        <f>'='!B23</f>
        <v>164.97000000000003</v>
      </c>
      <c r="C18" s="21">
        <f>'='!F23</f>
        <v>12.24</v>
      </c>
      <c r="D18" s="21">
        <f>'='!G23</f>
        <v>3.4</v>
      </c>
      <c r="E18" s="22">
        <f>'='!H23</f>
        <v>6.8082788671023969E-4</v>
      </c>
      <c r="F18" s="22">
        <f>'='!I23</f>
        <v>1.0212418300653595E-3</v>
      </c>
      <c r="G18" s="22">
        <f>'='!J23</f>
        <v>1.3616557734204794E-3</v>
      </c>
      <c r="H18" s="22">
        <f>'='!K23</f>
        <v>1.7020697167755992E-3</v>
      </c>
      <c r="I18" s="22">
        <f>'='!L23</f>
        <v>2.0424836601307191E-3</v>
      </c>
      <c r="J18" s="22">
        <f>'='!M23</f>
        <v>2.3828976034858387E-3</v>
      </c>
      <c r="K18" s="22">
        <f>'='!N23</f>
        <v>2.7233115468409588E-3</v>
      </c>
      <c r="L18" s="22">
        <f>'='!O23</f>
        <v>3.0637254901960784E-3</v>
      </c>
      <c r="M18" s="22">
        <f>'='!P23</f>
        <v>3.4041394335511985E-3</v>
      </c>
      <c r="N18" s="22">
        <f>'='!Q23</f>
        <v>3.7445533769063185E-3</v>
      </c>
      <c r="O18" s="23">
        <f>'='!R23</f>
        <v>3.7445533769063185E-3</v>
      </c>
    </row>
    <row r="19" spans="1:21">
      <c r="A19" s="592"/>
      <c r="B19" s="20">
        <f>'='!B24</f>
        <v>169.20000000000002</v>
      </c>
      <c r="C19" s="21">
        <f>'='!F24</f>
        <v>12.96</v>
      </c>
      <c r="D19" s="21">
        <f>'='!G24</f>
        <v>3.6</v>
      </c>
      <c r="E19" s="22">
        <f>'='!H24</f>
        <v>6.4300411522633745E-4</v>
      </c>
      <c r="F19" s="22">
        <f>'='!I24</f>
        <v>9.6450617283950612E-4</v>
      </c>
      <c r="G19" s="22">
        <f>'='!J24</f>
        <v>1.2860082304526749E-3</v>
      </c>
      <c r="H19" s="22">
        <f>'='!K24</f>
        <v>1.6075102880658437E-3</v>
      </c>
      <c r="I19" s="22">
        <f>'='!L24</f>
        <v>1.9290123456790122E-3</v>
      </c>
      <c r="J19" s="22">
        <f>'='!M24</f>
        <v>2.2505144032921808E-3</v>
      </c>
      <c r="K19" s="22">
        <f>'='!N24</f>
        <v>2.5720164609053498E-3</v>
      </c>
      <c r="L19" s="22">
        <f>'='!O24</f>
        <v>2.8935185185185184E-3</v>
      </c>
      <c r="M19" s="22">
        <f>'='!P24</f>
        <v>3.2150205761316874E-3</v>
      </c>
      <c r="N19" s="22">
        <f>'='!Q24</f>
        <v>3.5365226337448559E-3</v>
      </c>
      <c r="O19" s="23">
        <f>'='!R24</f>
        <v>3.5365226337448559E-3</v>
      </c>
    </row>
    <row r="20" spans="1:21">
      <c r="A20" s="592" t="s">
        <v>173</v>
      </c>
      <c r="B20" s="20">
        <f>'='!B25</f>
        <v>171.90250000000003</v>
      </c>
      <c r="C20" s="21">
        <f>'='!F25</f>
        <v>13.68</v>
      </c>
      <c r="D20" s="21">
        <f>'='!G25</f>
        <v>3.8</v>
      </c>
      <c r="E20" s="22">
        <f>'='!H25</f>
        <v>6.0916179337231976E-4</v>
      </c>
      <c r="F20" s="22">
        <f>'='!I25</f>
        <v>9.1374269005847948E-4</v>
      </c>
      <c r="G20" s="22">
        <f>'='!J25</f>
        <v>1.2183235867446395E-3</v>
      </c>
      <c r="H20" s="22">
        <f>'='!K25</f>
        <v>1.5229044834307994E-3</v>
      </c>
      <c r="I20" s="22">
        <f>'='!L25</f>
        <v>1.827485380116959E-3</v>
      </c>
      <c r="J20" s="22">
        <f>'='!M25</f>
        <v>2.1320662768031188E-3</v>
      </c>
      <c r="K20" s="22">
        <f>'='!N25</f>
        <v>2.4366471734892791E-3</v>
      </c>
      <c r="L20" s="22">
        <f>'='!O25</f>
        <v>2.7412280701754389E-3</v>
      </c>
      <c r="M20" s="22">
        <f>'='!P25</f>
        <v>3.0458089668615987E-3</v>
      </c>
      <c r="N20" s="22">
        <f>'='!Q25</f>
        <v>3.350389863547759E-3</v>
      </c>
      <c r="O20" s="23">
        <f>'='!R25</f>
        <v>3.350389863547759E-3</v>
      </c>
    </row>
    <row r="21" spans="1:21">
      <c r="A21" s="592"/>
      <c r="B21" s="20">
        <f>'='!B26</f>
        <v>174.13500000000002</v>
      </c>
      <c r="C21" s="21">
        <f>'='!F26</f>
        <v>14.4</v>
      </c>
      <c r="D21" s="21">
        <f>'='!G26</f>
        <v>4</v>
      </c>
      <c r="E21" s="22">
        <f>'='!H26</f>
        <v>5.7870370370370367E-4</v>
      </c>
      <c r="F21" s="22">
        <f>'='!I26</f>
        <v>8.6805555555555551E-4</v>
      </c>
      <c r="G21" s="22">
        <f>'='!J26</f>
        <v>1.1574074074074073E-3</v>
      </c>
      <c r="H21" s="22">
        <f>'='!K26</f>
        <v>1.4467592592592592E-3</v>
      </c>
      <c r="I21" s="22">
        <f>'='!L26</f>
        <v>1.736111111111111E-3</v>
      </c>
      <c r="J21" s="22">
        <f>'='!M26</f>
        <v>2.0254629629629629E-3</v>
      </c>
      <c r="K21" s="22">
        <f>'='!N26</f>
        <v>2.3148148148148147E-3</v>
      </c>
      <c r="L21" s="22">
        <f>'='!O26</f>
        <v>2.6041666666666665E-3</v>
      </c>
      <c r="M21" s="22">
        <f>'='!P26</f>
        <v>2.8935185185185184E-3</v>
      </c>
      <c r="N21" s="22">
        <f>'='!Q26</f>
        <v>3.1828703703703702E-3</v>
      </c>
      <c r="O21" s="23">
        <f>'='!R26</f>
        <v>3.1828703703703702E-3</v>
      </c>
    </row>
    <row r="22" spans="1:21">
      <c r="A22" s="592"/>
      <c r="B22" s="20">
        <f>'='!B27</f>
        <v>176.36750000000001</v>
      </c>
      <c r="C22" s="21">
        <f>'='!F27</f>
        <v>15.120000000000001</v>
      </c>
      <c r="D22" s="21">
        <f>'='!G27</f>
        <v>4.2</v>
      </c>
      <c r="E22" s="22">
        <f>'='!H27</f>
        <v>5.5114638447971778E-4</v>
      </c>
      <c r="F22" s="22">
        <f>'='!I27</f>
        <v>8.2671957671957678E-4</v>
      </c>
      <c r="G22" s="22">
        <f>'='!J27</f>
        <v>1.1022927689594356E-3</v>
      </c>
      <c r="H22" s="22">
        <f>'='!K27</f>
        <v>1.3778659611992945E-3</v>
      </c>
      <c r="I22" s="22">
        <f>'='!L27</f>
        <v>1.6534391534391536E-3</v>
      </c>
      <c r="J22" s="22">
        <f>'='!M27</f>
        <v>1.9290123456790122E-3</v>
      </c>
      <c r="K22" s="22">
        <f>'='!N27</f>
        <v>2.2045855379188711E-3</v>
      </c>
      <c r="L22" s="22">
        <f>'='!O27</f>
        <v>2.48015873015873E-3</v>
      </c>
      <c r="M22" s="22">
        <f>'='!P27</f>
        <v>2.7557319223985889E-3</v>
      </c>
      <c r="N22" s="22">
        <f>'='!Q27</f>
        <v>3.0313051146384474E-3</v>
      </c>
      <c r="O22" s="23">
        <f>'='!R27</f>
        <v>3.0313051146384474E-3</v>
      </c>
    </row>
    <row r="23" spans="1:21">
      <c r="A23" s="592"/>
      <c r="B23" s="20">
        <f>'='!B28</f>
        <v>178.6</v>
      </c>
      <c r="C23" s="21">
        <f>'='!F28</f>
        <v>15.840000000000002</v>
      </c>
      <c r="D23" s="21">
        <f>'='!G28</f>
        <v>4.4000000000000004</v>
      </c>
      <c r="E23" s="22">
        <f>'='!H28</f>
        <v>5.2609427609427608E-4</v>
      </c>
      <c r="F23" s="22">
        <f>'='!I28</f>
        <v>7.8914141414141402E-4</v>
      </c>
      <c r="G23" s="22">
        <f>'='!J28</f>
        <v>1.0521885521885522E-3</v>
      </c>
      <c r="H23" s="22">
        <f>'='!K28</f>
        <v>1.3152356902356901E-3</v>
      </c>
      <c r="I23" s="22">
        <f>'='!L28</f>
        <v>1.578282828282828E-3</v>
      </c>
      <c r="J23" s="22">
        <f>'='!M28</f>
        <v>1.841329966329966E-3</v>
      </c>
      <c r="K23" s="22">
        <f>'='!N28</f>
        <v>2.1043771043771043E-3</v>
      </c>
      <c r="L23" s="22">
        <f>'='!O28</f>
        <v>2.3674242424242425E-3</v>
      </c>
      <c r="M23" s="22">
        <f>'='!P28</f>
        <v>2.6304713804713802E-3</v>
      </c>
      <c r="N23" s="22">
        <f>'='!Q28</f>
        <v>2.8935185185185184E-3</v>
      </c>
      <c r="O23" s="23">
        <f>'='!R28</f>
        <v>2.8935185185185184E-3</v>
      </c>
    </row>
    <row r="24" spans="1:21">
      <c r="A24" s="592" t="s">
        <v>174</v>
      </c>
      <c r="B24" s="20">
        <f>'='!B29</f>
        <v>180.95000000000002</v>
      </c>
      <c r="C24" s="21">
        <f>'='!F29</f>
        <v>16.559999999999999</v>
      </c>
      <c r="D24" s="21">
        <f>'='!G29</f>
        <v>4.5999999999999996</v>
      </c>
      <c r="E24" s="22">
        <f>'='!H29</f>
        <v>5.0322061191626416E-4</v>
      </c>
      <c r="F24" s="22">
        <f>'='!I29</f>
        <v>7.5483091787439613E-4</v>
      </c>
      <c r="G24" s="22">
        <f>'='!J29</f>
        <v>1.0064412238325283E-3</v>
      </c>
      <c r="H24" s="22">
        <f>'='!K29</f>
        <v>1.2580515297906602E-3</v>
      </c>
      <c r="I24" s="22">
        <f>'='!L29</f>
        <v>1.5096618357487923E-3</v>
      </c>
      <c r="J24" s="22">
        <f>'='!M29</f>
        <v>1.7612721417069245E-3</v>
      </c>
      <c r="K24" s="22">
        <f>'='!N29</f>
        <v>2.0128824476650566E-3</v>
      </c>
      <c r="L24" s="22">
        <f>'='!O29</f>
        <v>2.2644927536231885E-3</v>
      </c>
      <c r="M24" s="22">
        <f>'='!P29</f>
        <v>2.5161030595813203E-3</v>
      </c>
      <c r="N24" s="22">
        <f>'='!Q29</f>
        <v>2.7677133655394526E-3</v>
      </c>
      <c r="O24" s="23">
        <f>'='!R29</f>
        <v>2.7677133655394526E-3</v>
      </c>
      <c r="P24" s="591"/>
      <c r="Q24" s="590"/>
      <c r="R24" s="590"/>
      <c r="S24" s="590"/>
      <c r="T24" s="590"/>
      <c r="U24" s="590"/>
    </row>
    <row r="25" spans="1:21">
      <c r="A25" s="592"/>
      <c r="B25" s="20">
        <f>'='!B30</f>
        <v>183.3</v>
      </c>
      <c r="C25" s="21">
        <f>'='!F30</f>
        <v>17.28</v>
      </c>
      <c r="D25" s="21">
        <f>'='!G30</f>
        <v>4.8</v>
      </c>
      <c r="E25" s="22">
        <f>'='!H30</f>
        <v>4.8225308641975317E-4</v>
      </c>
      <c r="F25" s="22">
        <f>'='!I30</f>
        <v>7.2337962962962959E-4</v>
      </c>
      <c r="G25" s="22">
        <f>'='!J30</f>
        <v>9.6450617283950634E-4</v>
      </c>
      <c r="H25" s="22">
        <f>'='!K30</f>
        <v>1.2056327160493829E-3</v>
      </c>
      <c r="I25" s="22">
        <f>'='!L30</f>
        <v>1.4467592592592592E-3</v>
      </c>
      <c r="J25" s="22">
        <f>'='!M30</f>
        <v>1.6878858024691359E-3</v>
      </c>
      <c r="K25" s="22">
        <f>'='!N30</f>
        <v>1.9290123456790127E-3</v>
      </c>
      <c r="L25" s="22">
        <f>'='!O30</f>
        <v>2.170138888888889E-3</v>
      </c>
      <c r="M25" s="22">
        <f>'='!P30</f>
        <v>2.4112654320987657E-3</v>
      </c>
      <c r="N25" s="22">
        <f>'='!Q30</f>
        <v>2.652391975308642E-3</v>
      </c>
      <c r="O25" s="23">
        <f>'='!R30</f>
        <v>2.652391975308642E-3</v>
      </c>
      <c r="P25" s="591"/>
      <c r="Q25" s="590"/>
      <c r="R25" s="590"/>
      <c r="S25" s="590"/>
      <c r="T25" s="590"/>
      <c r="U25" s="590"/>
    </row>
    <row r="26" spans="1:21">
      <c r="A26" s="592"/>
      <c r="B26" s="20">
        <f>'='!B31</f>
        <v>185.65</v>
      </c>
      <c r="C26" s="21">
        <f>'='!F31</f>
        <v>18</v>
      </c>
      <c r="D26" s="21">
        <f>'='!G31</f>
        <v>5</v>
      </c>
      <c r="E26" s="22">
        <f>'='!H31</f>
        <v>4.6296296296296298E-4</v>
      </c>
      <c r="F26" s="22">
        <f>'='!I31</f>
        <v>6.9444444444444447E-4</v>
      </c>
      <c r="G26" s="22">
        <f>'='!J31</f>
        <v>9.2592592592592596E-4</v>
      </c>
      <c r="H26" s="22">
        <f>'='!K31</f>
        <v>1.1574074074074073E-3</v>
      </c>
      <c r="I26" s="22">
        <f>'='!L31</f>
        <v>1.3888888888888889E-3</v>
      </c>
      <c r="J26" s="22">
        <f>'='!M31</f>
        <v>1.6203703703703703E-3</v>
      </c>
      <c r="K26" s="22">
        <f>'='!N31</f>
        <v>1.8518518518518519E-3</v>
      </c>
      <c r="L26" s="22">
        <f>'='!O31</f>
        <v>2.0833333333333333E-3</v>
      </c>
      <c r="M26" s="22">
        <f>'='!P31</f>
        <v>2.3148148148148147E-3</v>
      </c>
      <c r="N26" s="22">
        <f>'='!Q31</f>
        <v>2.5462962962962965E-3</v>
      </c>
      <c r="O26" s="23">
        <f>'='!R31</f>
        <v>2.5462962962962965E-3</v>
      </c>
      <c r="P26" s="591"/>
      <c r="Q26" s="590"/>
      <c r="R26" s="590"/>
      <c r="S26" s="590"/>
      <c r="T26" s="590"/>
      <c r="U26" s="590"/>
    </row>
    <row r="27" spans="1:21">
      <c r="A27" s="592"/>
      <c r="B27" s="20">
        <f>'='!B32</f>
        <v>188</v>
      </c>
      <c r="C27" s="21">
        <f>'='!F32</f>
        <v>18.720000000000002</v>
      </c>
      <c r="D27" s="21">
        <f>'='!G32</f>
        <v>5.2</v>
      </c>
      <c r="E27" s="22">
        <f>'='!H32</f>
        <v>4.4515669515669511E-4</v>
      </c>
      <c r="F27" s="22">
        <f>'='!I32</f>
        <v>6.6773504273504275E-4</v>
      </c>
      <c r="G27" s="22">
        <f>'='!J32</f>
        <v>8.9031339031339022E-4</v>
      </c>
      <c r="H27" s="22">
        <f>'='!K32</f>
        <v>1.1128917378917377E-3</v>
      </c>
      <c r="I27" s="22">
        <f>'='!L32</f>
        <v>1.3354700854700855E-3</v>
      </c>
      <c r="J27" s="22">
        <f>'='!M32</f>
        <v>1.5580484330484331E-3</v>
      </c>
      <c r="K27" s="22">
        <f>'='!N32</f>
        <v>1.7806267806267804E-3</v>
      </c>
      <c r="L27" s="22">
        <f>'='!O32</f>
        <v>2.003205128205128E-3</v>
      </c>
      <c r="M27" s="22">
        <f>'='!P32</f>
        <v>2.2257834757834754E-3</v>
      </c>
      <c r="N27" s="22">
        <f>'='!Q32</f>
        <v>2.4483618233618232E-3</v>
      </c>
      <c r="O27" s="23">
        <f>'='!R32</f>
        <v>2.4483618233618232E-3</v>
      </c>
    </row>
    <row r="28" spans="1:21">
      <c r="A28" s="592" t="s">
        <v>175</v>
      </c>
      <c r="B28" s="20">
        <f>'='!B33</f>
        <v>0</v>
      </c>
      <c r="C28" s="21">
        <f>'='!F33</f>
        <v>19.440000000000001</v>
      </c>
      <c r="D28" s="21">
        <f>'='!G33</f>
        <v>5.4</v>
      </c>
      <c r="E28" s="22">
        <f>'='!H33</f>
        <v>4.2866941015089167E-4</v>
      </c>
      <c r="F28" s="22">
        <f>'='!I33</f>
        <v>6.4300411522633734E-4</v>
      </c>
      <c r="G28" s="22">
        <f>'='!J33</f>
        <v>8.5733882030178334E-4</v>
      </c>
      <c r="H28" s="22">
        <f>'='!K33</f>
        <v>1.0716735253772289E-3</v>
      </c>
      <c r="I28" s="22">
        <f>'='!L33</f>
        <v>1.2860082304526747E-3</v>
      </c>
      <c r="J28" s="22">
        <f>'='!M33</f>
        <v>1.5003429355281207E-3</v>
      </c>
      <c r="K28" s="22">
        <f>'='!N33</f>
        <v>1.7146776406035667E-3</v>
      </c>
      <c r="L28" s="22">
        <f>'='!O33</f>
        <v>1.9290123456790122E-3</v>
      </c>
      <c r="M28" s="22">
        <f>'='!P33</f>
        <v>2.1433470507544578E-3</v>
      </c>
      <c r="N28" s="22">
        <f>'='!Q33</f>
        <v>2.3576817558299038E-3</v>
      </c>
      <c r="O28" s="23">
        <f>'='!R33</f>
        <v>2.3576817558299038E-3</v>
      </c>
    </row>
    <row r="29" spans="1:21">
      <c r="A29" s="592"/>
      <c r="B29" s="20">
        <f>'='!B34</f>
        <v>0</v>
      </c>
      <c r="C29" s="21">
        <f>'='!F34</f>
        <v>20.16</v>
      </c>
      <c r="D29" s="21">
        <f>'='!G34</f>
        <v>5.6</v>
      </c>
      <c r="E29" s="22">
        <f>'='!H34</f>
        <v>4.1335978835978839E-4</v>
      </c>
      <c r="F29" s="22">
        <f>'='!I34</f>
        <v>6.2003968253968261E-4</v>
      </c>
      <c r="G29" s="22">
        <f>'='!J34</f>
        <v>8.2671957671957678E-4</v>
      </c>
      <c r="H29" s="22">
        <f>'='!K34</f>
        <v>1.0333994708994711E-3</v>
      </c>
      <c r="I29" s="22">
        <f>'='!L34</f>
        <v>1.2400793650793652E-3</v>
      </c>
      <c r="J29" s="22">
        <f>'='!M34</f>
        <v>1.4467592592592594E-3</v>
      </c>
      <c r="K29" s="22">
        <f>'='!N34</f>
        <v>1.6534391534391536E-3</v>
      </c>
      <c r="L29" s="22">
        <f>'='!O34</f>
        <v>1.8601190476190477E-3</v>
      </c>
      <c r="M29" s="22">
        <f>'='!P34</f>
        <v>2.0667989417989421E-3</v>
      </c>
      <c r="N29" s="22">
        <f>'='!Q34</f>
        <v>2.2734788359788363E-3</v>
      </c>
      <c r="O29" s="23">
        <f>'='!R34</f>
        <v>2.2734788359788363E-3</v>
      </c>
    </row>
    <row r="30" spans="1:21">
      <c r="A30" s="592"/>
      <c r="B30" s="20">
        <f>'='!B35</f>
        <v>0</v>
      </c>
      <c r="C30" s="21">
        <f>'='!F35</f>
        <v>20.88</v>
      </c>
      <c r="D30" s="21">
        <f>'='!G35</f>
        <v>5.8</v>
      </c>
      <c r="E30" s="22">
        <f>'='!H35</f>
        <v>3.9910600255427844E-4</v>
      </c>
      <c r="F30" s="22">
        <f>'='!I35</f>
        <v>5.9865900383141769E-4</v>
      </c>
      <c r="G30" s="22">
        <f>'='!J35</f>
        <v>7.9821200510855688E-4</v>
      </c>
      <c r="H30" s="22">
        <f>'='!K35</f>
        <v>9.9776500638569608E-4</v>
      </c>
      <c r="I30" s="22">
        <f>'='!L35</f>
        <v>1.1973180076628354E-3</v>
      </c>
      <c r="J30" s="22">
        <f>'='!M35</f>
        <v>1.3968710089399745E-3</v>
      </c>
      <c r="K30" s="22">
        <f>'='!N35</f>
        <v>1.5964240102171138E-3</v>
      </c>
      <c r="L30" s="22">
        <f>'='!O35</f>
        <v>1.7959770114942531E-3</v>
      </c>
      <c r="M30" s="22">
        <f>'='!P35</f>
        <v>1.9955300127713922E-3</v>
      </c>
      <c r="N30" s="22">
        <f>'='!Q35</f>
        <v>2.1950830140485315E-3</v>
      </c>
      <c r="O30" s="23">
        <f>'='!R35</f>
        <v>2.1950830140485315E-3</v>
      </c>
    </row>
    <row r="31" spans="1:21" ht="13.5" thickBot="1">
      <c r="A31" s="604"/>
      <c r="B31" s="24">
        <f>'='!B36</f>
        <v>0</v>
      </c>
      <c r="C31" s="25">
        <f>'='!F36</f>
        <v>21.6</v>
      </c>
      <c r="D31" s="25">
        <f>'='!G36</f>
        <v>6</v>
      </c>
      <c r="E31" s="26">
        <f>'='!H36</f>
        <v>3.858024691358025E-4</v>
      </c>
      <c r="F31" s="26">
        <f>'='!I36</f>
        <v>5.7870370370370367E-4</v>
      </c>
      <c r="G31" s="26">
        <f>'='!J36</f>
        <v>7.71604938271605E-4</v>
      </c>
      <c r="H31" s="26">
        <f>'='!K36</f>
        <v>9.6450617283950612E-4</v>
      </c>
      <c r="I31" s="26">
        <f>'='!L36</f>
        <v>1.1574074074074073E-3</v>
      </c>
      <c r="J31" s="26">
        <f>'='!M36</f>
        <v>1.3503086419753088E-3</v>
      </c>
      <c r="K31" s="26">
        <f>'='!N36</f>
        <v>1.54320987654321E-3</v>
      </c>
      <c r="L31" s="26">
        <f>'='!O36</f>
        <v>1.736111111111111E-3</v>
      </c>
      <c r="M31" s="26">
        <f>'='!P36</f>
        <v>1.9290123456790122E-3</v>
      </c>
      <c r="N31" s="26">
        <f>'='!Q36</f>
        <v>2.1219135802469139E-3</v>
      </c>
      <c r="O31" s="27">
        <f>'='!R36</f>
        <v>2.1219135802469139E-3</v>
      </c>
    </row>
    <row r="32" spans="1:21">
      <c r="A32" s="602" t="s">
        <v>189</v>
      </c>
      <c r="B32" s="602"/>
      <c r="C32" s="602"/>
      <c r="D32" s="602"/>
      <c r="E32" s="602"/>
      <c r="F32" s="602"/>
      <c r="G32" s="602"/>
      <c r="H32" s="602"/>
      <c r="I32" s="602"/>
      <c r="J32" s="602"/>
      <c r="K32" s="602"/>
      <c r="L32" s="602"/>
      <c r="M32" s="602"/>
      <c r="N32" s="602"/>
      <c r="O32" s="602"/>
    </row>
    <row r="33" spans="1:15">
      <c r="A33" s="603" t="s">
        <v>190</v>
      </c>
      <c r="B33" s="603"/>
      <c r="C33" s="603"/>
      <c r="D33" s="30">
        <f>'R2'!F9</f>
        <v>400</v>
      </c>
      <c r="E33" s="28" t="s">
        <v>92</v>
      </c>
      <c r="F33" s="603" t="s">
        <v>108</v>
      </c>
      <c r="G33" s="603"/>
      <c r="H33" s="16" t="s">
        <v>110</v>
      </c>
      <c r="I33" s="30">
        <f>'R2'!F14</f>
        <v>100</v>
      </c>
      <c r="J33" s="16" t="s">
        <v>186</v>
      </c>
      <c r="K33" s="16" t="s">
        <v>109</v>
      </c>
      <c r="L33" s="33">
        <f>'R2'!F15</f>
        <v>105.26315789473684</v>
      </c>
      <c r="M33" s="16" t="s">
        <v>107</v>
      </c>
      <c r="N33" s="28" t="s">
        <v>194</v>
      </c>
      <c r="O33" s="16"/>
    </row>
    <row r="34" spans="1:15" ht="1.5" customHeight="1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</row>
    <row r="35" spans="1:15">
      <c r="A35" s="595" t="s">
        <v>191</v>
      </c>
      <c r="B35" s="595"/>
      <c r="C35" s="595"/>
      <c r="D35" s="595"/>
      <c r="E35" s="595"/>
      <c r="F35" s="595"/>
      <c r="G35" s="32">
        <f>'R2'!E17</f>
        <v>112.8</v>
      </c>
      <c r="H35" s="596" t="s">
        <v>193</v>
      </c>
      <c r="I35" s="596"/>
      <c r="J35" s="596"/>
      <c r="K35" s="30">
        <f>'R2'!F19</f>
        <v>0</v>
      </c>
      <c r="L35" s="28" t="s">
        <v>187</v>
      </c>
      <c r="M35" s="16"/>
      <c r="N35" s="16"/>
      <c r="O35" s="16"/>
    </row>
    <row r="36" spans="1:15" ht="1.5" customHeight="1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</row>
    <row r="37" spans="1:15">
      <c r="A37" s="595" t="s">
        <v>192</v>
      </c>
      <c r="B37" s="595"/>
      <c r="C37" s="595"/>
      <c r="D37" s="595"/>
      <c r="E37" s="595"/>
      <c r="F37" s="31">
        <f>'R2'!F21</f>
        <v>12</v>
      </c>
      <c r="G37" s="16" t="s">
        <v>187</v>
      </c>
      <c r="H37" s="597" t="s">
        <v>114</v>
      </c>
      <c r="I37" s="597"/>
      <c r="J37" s="597"/>
      <c r="K37" s="33">
        <f>'R2'!F23</f>
        <v>2806.1538461538466</v>
      </c>
      <c r="L37" s="16" t="s">
        <v>53</v>
      </c>
      <c r="M37" s="16"/>
      <c r="N37" s="16"/>
      <c r="O37" s="16"/>
    </row>
    <row r="38" spans="1:15">
      <c r="A38" s="16" t="s">
        <v>188</v>
      </c>
      <c r="B38" s="600" t="str">
        <f>'R1'!I17</f>
        <v>älto rendimiento</v>
      </c>
      <c r="C38" s="600"/>
      <c r="D38" s="31" t="s">
        <v>194</v>
      </c>
      <c r="E38" s="597" t="s">
        <v>90</v>
      </c>
      <c r="F38" s="597"/>
      <c r="G38" s="597"/>
      <c r="H38" s="597"/>
      <c r="I38" s="597"/>
      <c r="J38" s="601" t="str">
        <f>'R1'!K25</f>
        <v>JIMMY INTRIAGO</v>
      </c>
      <c r="K38" s="601"/>
      <c r="L38" s="601"/>
      <c r="M38" s="601"/>
      <c r="N38" s="601"/>
      <c r="O38" s="16"/>
    </row>
    <row r="39" spans="1:15">
      <c r="A39" s="16"/>
      <c r="B39" s="16"/>
      <c r="C39" s="16"/>
      <c r="D39" s="16"/>
      <c r="E39" s="603" t="str">
        <f>'R1'!F28</f>
        <v>2  series de</v>
      </c>
      <c r="F39" s="603"/>
      <c r="G39" s="603" t="str">
        <f>'R1'!G28</f>
        <v xml:space="preserve">2 repeticiones de </v>
      </c>
      <c r="H39" s="603"/>
      <c r="I39" s="29">
        <f>'R1'!H28</f>
        <v>1403.0769230769233</v>
      </c>
      <c r="J39" s="16" t="s">
        <v>53</v>
      </c>
      <c r="K39" s="603" t="str">
        <f>'R1'!J28</f>
        <v>micro pausa de</v>
      </c>
      <c r="L39" s="603"/>
      <c r="M39" s="16">
        <f>'R1'!K28</f>
        <v>0</v>
      </c>
      <c r="N39" s="16" t="s">
        <v>107</v>
      </c>
      <c r="O39" s="16"/>
    </row>
    <row r="40" spans="1:15">
      <c r="A40" s="16"/>
      <c r="B40" s="16"/>
      <c r="C40" s="16"/>
      <c r="D40" s="16"/>
      <c r="E40" s="603" t="str">
        <f>'R1'!F29</f>
        <v>2  series de</v>
      </c>
      <c r="F40" s="603"/>
      <c r="G40" s="603" t="str">
        <f>'R1'!G29</f>
        <v xml:space="preserve">3 repeticiones de </v>
      </c>
      <c r="H40" s="603"/>
      <c r="I40" s="29">
        <f>'R1'!H29</f>
        <v>935.38461538461559</v>
      </c>
      <c r="J40" s="16" t="s">
        <v>53</v>
      </c>
      <c r="K40" s="603" t="str">
        <f>'R1'!J29</f>
        <v>micro pausa de</v>
      </c>
      <c r="L40" s="603"/>
      <c r="M40" s="16">
        <f>'R1'!K29</f>
        <v>0</v>
      </c>
      <c r="N40" s="16" t="s">
        <v>107</v>
      </c>
      <c r="O40" s="16"/>
    </row>
    <row r="41" spans="1:15">
      <c r="A41" s="16"/>
      <c r="B41" s="16"/>
      <c r="C41" s="111"/>
      <c r="D41" s="16"/>
      <c r="E41" s="603" t="str">
        <f>'R1'!F30</f>
        <v>2  series de</v>
      </c>
      <c r="F41" s="603"/>
      <c r="G41" s="603" t="str">
        <f>'R1'!G30</f>
        <v xml:space="preserve">4 repeticiones de </v>
      </c>
      <c r="H41" s="603"/>
      <c r="I41" s="29">
        <f>'R1'!H30</f>
        <v>701.53846153846166</v>
      </c>
      <c r="J41" s="16" t="s">
        <v>53</v>
      </c>
      <c r="K41" s="603" t="str">
        <f>'R1'!J30</f>
        <v>micro pausa de</v>
      </c>
      <c r="L41" s="603"/>
      <c r="M41" s="16">
        <f>'R1'!K30</f>
        <v>0</v>
      </c>
      <c r="N41" s="16" t="s">
        <v>107</v>
      </c>
      <c r="O41" s="16"/>
    </row>
    <row r="42" spans="1:15">
      <c r="C42" s="590"/>
      <c r="D42" s="590"/>
      <c r="E42" s="590"/>
    </row>
  </sheetData>
  <sheetProtection algorithmName="SHA-512" hashValue="/2OxB+O5p/O68ZBp7G/6qX7jYMCUvFydkL2R858qUK7uCGadRdd2Wh8moB1IsRhwt1N0Nu/k834vAou7xozkrA==" saltValue="AWUtEzbxBaWUbDZf561UDw==" spinCount="100000" sheet="1" objects="1" scenarios="1"/>
  <mergeCells count="37">
    <mergeCell ref="E39:F39"/>
    <mergeCell ref="G39:H39"/>
    <mergeCell ref="K39:L39"/>
    <mergeCell ref="K40:L40"/>
    <mergeCell ref="K41:L41"/>
    <mergeCell ref="G40:H40"/>
    <mergeCell ref="G41:H41"/>
    <mergeCell ref="E40:F40"/>
    <mergeCell ref="E41:F41"/>
    <mergeCell ref="A5:O6"/>
    <mergeCell ref="A8:A11"/>
    <mergeCell ref="A12:A15"/>
    <mergeCell ref="A16:A19"/>
    <mergeCell ref="B38:C38"/>
    <mergeCell ref="E38:I38"/>
    <mergeCell ref="J38:N38"/>
    <mergeCell ref="A32:O32"/>
    <mergeCell ref="A33:C33"/>
    <mergeCell ref="F33:G33"/>
    <mergeCell ref="A24:A27"/>
    <mergeCell ref="A28:A31"/>
    <mergeCell ref="C42:E42"/>
    <mergeCell ref="P24:U26"/>
    <mergeCell ref="A20:A23"/>
    <mergeCell ref="I1:K1"/>
    <mergeCell ref="A1:C1"/>
    <mergeCell ref="A2:C2"/>
    <mergeCell ref="A3:C3"/>
    <mergeCell ref="A4:C4"/>
    <mergeCell ref="D1:H1"/>
    <mergeCell ref="A35:F35"/>
    <mergeCell ref="H35:J35"/>
    <mergeCell ref="A37:E37"/>
    <mergeCell ref="H37:J37"/>
    <mergeCell ref="I2:K2"/>
    <mergeCell ref="I3:K3"/>
    <mergeCell ref="I4:K4"/>
  </mergeCell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DE5CC5"/>
  </sheetPr>
  <dimension ref="A1:FM300"/>
  <sheetViews>
    <sheetView showGridLines="0" showRowColHeaders="0" workbookViewId="0"/>
  </sheetViews>
  <sheetFormatPr baseColWidth="10" defaultRowHeight="12.75"/>
  <cols>
    <col min="2" max="2" width="8.28515625" customWidth="1"/>
    <col min="3" max="3" width="34.28515625" customWidth="1"/>
    <col min="6" max="6" width="9.28515625" customWidth="1"/>
    <col min="7" max="7" width="5.85546875" customWidth="1"/>
    <col min="10" max="10" width="14.85546875" customWidth="1"/>
    <col min="12" max="12" width="15.28515625" customWidth="1"/>
  </cols>
  <sheetData>
    <row r="1" spans="1:169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</row>
    <row r="2" spans="1:169">
      <c r="A2" s="9"/>
      <c r="B2" s="9"/>
      <c r="C2" s="9"/>
      <c r="D2" s="9"/>
      <c r="E2" s="11" t="s">
        <v>105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</row>
    <row r="3" spans="1:169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</row>
    <row r="4" spans="1:169">
      <c r="A4" s="9"/>
      <c r="B4" s="9"/>
      <c r="C4" s="2"/>
      <c r="D4" s="2"/>
      <c r="E4" s="2"/>
      <c r="F4" s="2"/>
      <c r="G4" s="2"/>
      <c r="H4" s="2"/>
      <c r="I4" s="2"/>
      <c r="J4" s="2"/>
      <c r="K4" s="2"/>
      <c r="L4" s="2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</row>
    <row r="5" spans="1:169">
      <c r="A5" s="9"/>
      <c r="B5" s="9"/>
      <c r="C5" s="2"/>
      <c r="D5" s="2"/>
      <c r="E5" s="2"/>
      <c r="F5" s="5"/>
      <c r="G5" s="2"/>
      <c r="H5" s="2"/>
      <c r="I5" s="2"/>
      <c r="J5" s="2"/>
      <c r="K5" s="2"/>
      <c r="L5" s="2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</row>
    <row r="6" spans="1:169">
      <c r="A6" s="9"/>
      <c r="B6" s="9"/>
      <c r="C6" s="2"/>
      <c r="D6" s="4"/>
      <c r="E6" s="4"/>
      <c r="F6" s="2"/>
      <c r="G6" s="2"/>
      <c r="H6" s="2"/>
      <c r="I6" s="2"/>
      <c r="J6" s="2"/>
      <c r="K6" s="2"/>
      <c r="L6" s="2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</row>
    <row r="7" spans="1:169">
      <c r="A7" s="9"/>
      <c r="B7" s="9"/>
      <c r="C7" s="2"/>
      <c r="D7" s="4"/>
      <c r="E7" s="4"/>
      <c r="F7" s="2"/>
      <c r="G7" s="2"/>
      <c r="H7" s="2"/>
      <c r="I7" s="2"/>
      <c r="J7" s="2"/>
      <c r="K7" s="2"/>
      <c r="L7" s="2"/>
      <c r="M7" s="12">
        <f>AVERAGE(F14:F15)</f>
        <v>102.63157894736841</v>
      </c>
      <c r="N7" s="13"/>
      <c r="O7" s="13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</row>
    <row r="8" spans="1:169">
      <c r="A8" s="9"/>
      <c r="B8" s="9"/>
      <c r="C8" s="2"/>
      <c r="D8" s="4"/>
      <c r="E8" s="4"/>
      <c r="F8" s="15"/>
      <c r="G8" s="2"/>
      <c r="H8" s="2"/>
      <c r="I8" s="2"/>
      <c r="J8" s="2"/>
      <c r="K8" s="2"/>
      <c r="L8" s="2"/>
      <c r="M8" s="14">
        <f>N10/M7</f>
        <v>7.0153846153846162</v>
      </c>
      <c r="N8" s="13" t="s">
        <v>115</v>
      </c>
      <c r="O8" s="13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</row>
    <row r="9" spans="1:169">
      <c r="A9" s="9"/>
      <c r="B9" s="9"/>
      <c r="C9" s="605" t="s">
        <v>52</v>
      </c>
      <c r="D9" s="605"/>
      <c r="E9" s="605"/>
      <c r="F9" s="353">
        <v>400</v>
      </c>
      <c r="G9" s="354" t="s">
        <v>53</v>
      </c>
      <c r="H9" s="355">
        <f>'.'!H25</f>
        <v>188</v>
      </c>
      <c r="I9" s="356"/>
      <c r="J9" s="356"/>
      <c r="K9" s="356"/>
      <c r="L9" s="356"/>
      <c r="M9" s="13"/>
      <c r="N9" s="13"/>
      <c r="O9" s="13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</row>
    <row r="10" spans="1:169">
      <c r="A10" s="9"/>
      <c r="B10" s="9"/>
      <c r="C10" s="356"/>
      <c r="D10" s="357"/>
      <c r="E10" s="357"/>
      <c r="F10" s="356"/>
      <c r="G10" s="356"/>
      <c r="H10" s="356"/>
      <c r="I10" s="356"/>
      <c r="J10" s="356"/>
      <c r="K10" s="356"/>
      <c r="L10" s="356"/>
      <c r="M10" s="13">
        <f>TRUNC(F21)</f>
        <v>12</v>
      </c>
      <c r="N10" s="13">
        <f>(M10*60)</f>
        <v>720</v>
      </c>
      <c r="O10" s="13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</row>
    <row r="11" spans="1:169">
      <c r="A11" s="9"/>
      <c r="B11" s="9"/>
      <c r="C11" s="356"/>
      <c r="D11" s="357"/>
      <c r="E11" s="358" t="s">
        <v>106</v>
      </c>
      <c r="F11" s="359">
        <f>'.'!H30</f>
        <v>14.4</v>
      </c>
      <c r="G11" s="360" t="s">
        <v>38</v>
      </c>
      <c r="H11" s="356"/>
      <c r="I11" s="356"/>
      <c r="J11" s="356"/>
      <c r="K11" s="356"/>
      <c r="L11" s="356"/>
      <c r="M11" s="13"/>
      <c r="N11" s="13"/>
      <c r="O11" s="13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</row>
    <row r="12" spans="1:169">
      <c r="A12" s="9"/>
      <c r="B12" s="9"/>
      <c r="C12" s="356"/>
      <c r="D12" s="356"/>
      <c r="E12" s="358"/>
      <c r="F12" s="361">
        <f>'.'!H32</f>
        <v>4</v>
      </c>
      <c r="G12" s="360" t="s">
        <v>27</v>
      </c>
      <c r="H12" s="356"/>
      <c r="I12" s="356"/>
      <c r="J12" s="356"/>
      <c r="K12" s="356"/>
      <c r="L12" s="356"/>
      <c r="M12" s="13" t="s">
        <v>116</v>
      </c>
      <c r="N12" s="14">
        <f>(M8*K17)</f>
        <v>2806.1538461538466</v>
      </c>
      <c r="O12" s="13" t="s">
        <v>22</v>
      </c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</row>
    <row r="13" spans="1:169">
      <c r="A13" s="9"/>
      <c r="B13" s="9"/>
      <c r="C13" s="356"/>
      <c r="D13" s="356"/>
      <c r="E13" s="356"/>
      <c r="F13" s="356"/>
      <c r="G13" s="360"/>
      <c r="H13" s="356"/>
      <c r="I13" s="356"/>
      <c r="J13" s="356"/>
      <c r="K13" s="356"/>
      <c r="L13" s="356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</row>
    <row r="14" spans="1:169">
      <c r="A14" s="9"/>
      <c r="B14" s="9"/>
      <c r="C14" s="606" t="s">
        <v>108</v>
      </c>
      <c r="D14" s="606"/>
      <c r="E14" s="360" t="s">
        <v>110</v>
      </c>
      <c r="F14" s="362">
        <f>(K17/F12)</f>
        <v>100</v>
      </c>
      <c r="G14" s="360" t="s">
        <v>107</v>
      </c>
      <c r="H14" s="356"/>
      <c r="I14" s="356"/>
      <c r="J14" s="356"/>
      <c r="K14" s="356"/>
      <c r="L14" s="356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</row>
    <row r="15" spans="1:169">
      <c r="A15" s="9"/>
      <c r="B15" s="9"/>
      <c r="C15" s="606"/>
      <c r="D15" s="606"/>
      <c r="E15" s="360" t="s">
        <v>109</v>
      </c>
      <c r="F15" s="361">
        <f>(F14*100/95)</f>
        <v>105.26315789473684</v>
      </c>
      <c r="G15" s="360" t="s">
        <v>107</v>
      </c>
      <c r="H15" s="356"/>
      <c r="I15" s="356"/>
      <c r="J15" s="356"/>
      <c r="K15" s="356"/>
      <c r="L15" s="356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</row>
    <row r="16" spans="1:169">
      <c r="A16" s="9"/>
      <c r="B16" s="9"/>
      <c r="C16" s="356"/>
      <c r="D16" s="356"/>
      <c r="E16" s="356"/>
      <c r="F16" s="356"/>
      <c r="G16" s="356"/>
      <c r="H16" s="356"/>
      <c r="I16" s="356"/>
      <c r="J16" s="356"/>
      <c r="K16" s="356"/>
      <c r="L16" s="356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</row>
    <row r="17" spans="1:169">
      <c r="A17" s="9"/>
      <c r="B17" s="9"/>
      <c r="C17" s="360" t="s">
        <v>111</v>
      </c>
      <c r="D17" s="360"/>
      <c r="E17" s="363">
        <f>(H9*0.6)</f>
        <v>112.8</v>
      </c>
      <c r="F17" s="360" t="s">
        <v>35</v>
      </c>
      <c r="G17" s="356"/>
      <c r="H17" s="356"/>
      <c r="I17" s="356"/>
      <c r="J17" s="356"/>
      <c r="K17" s="360">
        <f>F9</f>
        <v>400</v>
      </c>
      <c r="L17" s="360" t="s">
        <v>55</v>
      </c>
      <c r="M17" s="9"/>
      <c r="N17" s="10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</row>
    <row r="18" spans="1:169">
      <c r="A18" s="9"/>
      <c r="B18" s="9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>
      <c r="A19" s="9"/>
      <c r="B19" s="9"/>
      <c r="C19" s="356"/>
      <c r="D19" s="360" t="s">
        <v>112</v>
      </c>
      <c r="E19" s="364"/>
      <c r="F19" s="365"/>
      <c r="G19" s="354" t="s">
        <v>81</v>
      </c>
      <c r="H19" s="356"/>
      <c r="I19" s="356"/>
      <c r="J19" s="356"/>
      <c r="K19" s="356"/>
      <c r="L19" s="356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>
      <c r="A20" s="9"/>
      <c r="B20" s="9"/>
      <c r="C20" s="356"/>
      <c r="D20" s="356"/>
      <c r="E20" s="356"/>
      <c r="F20" s="366"/>
      <c r="G20" s="356"/>
      <c r="H20" s="356"/>
      <c r="I20" s="356"/>
      <c r="J20" s="356"/>
      <c r="K20" s="356"/>
      <c r="L20" s="356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>
      <c r="A21" s="9"/>
      <c r="B21" s="9"/>
      <c r="C21" s="360" t="s">
        <v>113</v>
      </c>
      <c r="D21" s="355"/>
      <c r="E21" s="356"/>
      <c r="F21" s="367">
        <v>12</v>
      </c>
      <c r="G21" s="354" t="s">
        <v>81</v>
      </c>
      <c r="H21" s="356"/>
      <c r="I21" s="368" t="s">
        <v>54</v>
      </c>
      <c r="J21" s="369">
        <f>(F9/6.2832)</f>
        <v>63.661828367710719</v>
      </c>
      <c r="K21" s="360" t="s">
        <v>53</v>
      </c>
      <c r="L21" s="356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>
      <c r="A22" s="9"/>
      <c r="B22" s="9"/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  <row r="23" spans="1:169">
      <c r="A23" s="9"/>
      <c r="B23" s="9"/>
      <c r="C23" s="356"/>
      <c r="D23" s="360" t="s">
        <v>114</v>
      </c>
      <c r="E23" s="356"/>
      <c r="F23" s="359">
        <f>N12</f>
        <v>2806.1538461538466</v>
      </c>
      <c r="G23" s="360" t="s">
        <v>53</v>
      </c>
      <c r="H23" s="356"/>
      <c r="I23" s="356"/>
      <c r="J23" s="356"/>
      <c r="K23" s="356"/>
      <c r="L23" s="356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</row>
    <row r="24" spans="1:169">
      <c r="A24" s="9"/>
      <c r="B24" s="9"/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</row>
    <row r="25" spans="1:169">
      <c r="A25" s="9"/>
      <c r="B25" s="9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</row>
    <row r="26" spans="1:169">
      <c r="A26" s="9"/>
      <c r="B26" s="9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</row>
    <row r="27" spans="1:169">
      <c r="A27" s="9"/>
      <c r="B27" s="9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</row>
    <row r="28" spans="1:169">
      <c r="A28" s="9"/>
      <c r="B28" s="9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</row>
    <row r="29" spans="1:169">
      <c r="A29" s="9"/>
      <c r="B29" s="9"/>
      <c r="C29" s="356"/>
      <c r="D29" s="356"/>
      <c r="E29" s="356"/>
      <c r="F29" s="356"/>
      <c r="G29" s="356"/>
      <c r="H29" s="356"/>
      <c r="I29" s="356"/>
      <c r="J29" s="356"/>
      <c r="K29" s="356"/>
      <c r="L29" s="356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</row>
    <row r="30" spans="1:169">
      <c r="A30" s="9"/>
      <c r="B30" s="9"/>
      <c r="C30" s="356"/>
      <c r="D30" s="356"/>
      <c r="E30" s="356"/>
      <c r="F30" s="356"/>
      <c r="G30" s="356"/>
      <c r="H30" s="356"/>
      <c r="I30" s="356"/>
      <c r="J30" s="356"/>
      <c r="K30" s="356"/>
      <c r="L30" s="356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</row>
    <row r="31" spans="1:169">
      <c r="A31" s="9"/>
      <c r="B31" s="9"/>
      <c r="C31" s="356"/>
      <c r="D31" s="356"/>
      <c r="E31" s="356"/>
      <c r="F31" s="356"/>
      <c r="G31" s="356"/>
      <c r="H31" s="356"/>
      <c r="I31" s="356"/>
      <c r="J31" s="356"/>
      <c r="K31" s="356"/>
      <c r="L31" s="356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</row>
    <row r="32" spans="1:169">
      <c r="A32" s="9"/>
      <c r="B32" s="9"/>
      <c r="C32" s="356"/>
      <c r="D32" s="356"/>
      <c r="E32" s="356"/>
      <c r="F32" s="356"/>
      <c r="G32" s="356"/>
      <c r="H32" s="356"/>
      <c r="I32" s="369">
        <f>(J21*2)</f>
        <v>127.32365673542144</v>
      </c>
      <c r="J32" s="360" t="s">
        <v>53</v>
      </c>
      <c r="K32" s="356"/>
      <c r="L32" s="356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</row>
    <row r="33" spans="1:169">
      <c r="A33" s="9"/>
      <c r="B33" s="9"/>
      <c r="C33" s="356"/>
      <c r="D33" s="356"/>
      <c r="E33" s="356"/>
      <c r="F33" s="356"/>
      <c r="G33" s="356"/>
      <c r="H33" s="356"/>
      <c r="I33" s="356"/>
      <c r="J33" s="356"/>
      <c r="K33" s="356"/>
      <c r="L33" s="356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</row>
    <row r="34" spans="1:169">
      <c r="A34" s="9"/>
      <c r="B34" s="9"/>
      <c r="C34" s="356"/>
      <c r="D34" s="356"/>
      <c r="E34" s="356"/>
      <c r="F34" s="356"/>
      <c r="G34" s="356"/>
      <c r="H34" s="356"/>
      <c r="I34" s="356"/>
      <c r="J34" s="356"/>
      <c r="K34" s="356"/>
      <c r="L34" s="356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</row>
    <row r="35" spans="1:169">
      <c r="A35" s="9"/>
      <c r="B35" s="9"/>
      <c r="C35" s="2"/>
      <c r="D35" s="2"/>
      <c r="E35" s="2"/>
      <c r="F35" s="2"/>
      <c r="G35" s="2"/>
      <c r="H35" s="2"/>
      <c r="I35" s="2"/>
      <c r="J35" s="2"/>
      <c r="K35" s="2"/>
      <c r="L35" s="2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</row>
    <row r="36" spans="1:169">
      <c r="A36" s="9"/>
      <c r="B36" s="9"/>
      <c r="C36" s="2"/>
      <c r="D36" s="2"/>
      <c r="E36" s="2"/>
      <c r="F36" s="2"/>
      <c r="G36" s="2"/>
      <c r="H36" s="2"/>
      <c r="I36" s="2"/>
      <c r="J36" s="2"/>
      <c r="K36" s="2"/>
      <c r="L36" s="2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</row>
    <row r="37" spans="1:169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</row>
    <row r="38" spans="1:169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</row>
    <row r="39" spans="1:169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</row>
    <row r="40" spans="1:169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</row>
    <row r="41" spans="1:169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</row>
    <row r="42" spans="1:169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</row>
    <row r="43" spans="1:169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</row>
    <row r="44" spans="1:169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</row>
    <row r="45" spans="1:169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</row>
    <row r="46" spans="1:169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</row>
    <row r="47" spans="1:169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</row>
    <row r="48" spans="1:169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</row>
    <row r="49" spans="1:169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</row>
    <row r="50" spans="1:169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</row>
    <row r="51" spans="1:169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</row>
    <row r="52" spans="1:169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</row>
    <row r="53" spans="1:169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</row>
    <row r="54" spans="1:169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</row>
    <row r="55" spans="1:169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</row>
    <row r="56" spans="1:169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</row>
    <row r="57" spans="1:169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</row>
    <row r="58" spans="1:169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</row>
    <row r="59" spans="1:169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</row>
    <row r="60" spans="1:169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</row>
    <row r="61" spans="1:169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</row>
    <row r="62" spans="1:169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</row>
    <row r="63" spans="1:169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</row>
    <row r="64" spans="1:169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</row>
    <row r="65" spans="1:169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</row>
    <row r="66" spans="1:169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</row>
    <row r="67" spans="1:169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</row>
    <row r="68" spans="1:169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</row>
    <row r="69" spans="1:169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</row>
    <row r="70" spans="1:169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</row>
    <row r="71" spans="1:169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</row>
    <row r="72" spans="1:169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</row>
    <row r="73" spans="1:169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</row>
    <row r="74" spans="1:169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</row>
    <row r="75" spans="1:169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</row>
    <row r="76" spans="1:169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</row>
    <row r="77" spans="1:169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</row>
    <row r="78" spans="1:169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</row>
    <row r="79" spans="1:169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</row>
    <row r="80" spans="1:169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</row>
    <row r="81" spans="1:169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</row>
    <row r="82" spans="1:169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</row>
    <row r="83" spans="1:169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</row>
    <row r="84" spans="1:169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</row>
    <row r="85" spans="1:169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</row>
    <row r="86" spans="1:169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</row>
    <row r="87" spans="1:169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</row>
    <row r="88" spans="1:169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</row>
    <row r="89" spans="1:169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</row>
    <row r="90" spans="1:169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</row>
    <row r="91" spans="1:169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</row>
    <row r="92" spans="1:169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</row>
    <row r="93" spans="1:169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</row>
    <row r="94" spans="1:169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</row>
    <row r="95" spans="1:169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</row>
    <row r="96" spans="1:169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</row>
    <row r="97" spans="1:169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</row>
    <row r="98" spans="1:169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</row>
    <row r="99" spans="1:169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</row>
    <row r="100" spans="1:169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</row>
    <row r="101" spans="1:169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</row>
    <row r="102" spans="1:169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</row>
    <row r="103" spans="1:169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</row>
    <row r="104" spans="1:169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</row>
    <row r="105" spans="1:169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</row>
    <row r="106" spans="1:169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</row>
    <row r="107" spans="1:169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</row>
    <row r="108" spans="1:169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</row>
    <row r="109" spans="1:169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</row>
    <row r="110" spans="1:169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</row>
    <row r="111" spans="1:169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</row>
    <row r="112" spans="1:169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</row>
    <row r="113" spans="1:169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</row>
    <row r="114" spans="1:169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</row>
    <row r="115" spans="1:169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</row>
    <row r="116" spans="1:169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</row>
    <row r="117" spans="1:169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</row>
    <row r="118" spans="1:169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</row>
    <row r="119" spans="1:169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</row>
    <row r="120" spans="1:169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</row>
    <row r="121" spans="1:169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</row>
    <row r="122" spans="1:169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</row>
    <row r="123" spans="1:169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</row>
    <row r="124" spans="1:169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</row>
    <row r="125" spans="1:169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</row>
    <row r="126" spans="1:169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</row>
    <row r="127" spans="1:169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</row>
    <row r="128" spans="1:169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</row>
    <row r="129" spans="1:169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</row>
    <row r="130" spans="1:169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</row>
    <row r="131" spans="1:169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</row>
    <row r="132" spans="1:169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</row>
    <row r="133" spans="1:169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</row>
    <row r="134" spans="1:169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</row>
    <row r="135" spans="1:169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</row>
    <row r="136" spans="1:169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</row>
    <row r="137" spans="1:169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</row>
    <row r="138" spans="1:169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</row>
    <row r="139" spans="1:169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</row>
    <row r="140" spans="1:169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</row>
    <row r="141" spans="1:169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</row>
    <row r="142" spans="1:169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</row>
    <row r="143" spans="1:169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</row>
    <row r="144" spans="1:169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</row>
    <row r="145" spans="1:169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</row>
    <row r="146" spans="1:169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</row>
    <row r="147" spans="1:169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</row>
    <row r="148" spans="1:169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</row>
    <row r="149" spans="1:169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</row>
    <row r="150" spans="1:169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</row>
    <row r="151" spans="1:169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</row>
    <row r="152" spans="1:169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</row>
    <row r="153" spans="1:169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</row>
    <row r="154" spans="1:169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</row>
    <row r="155" spans="1:169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</row>
    <row r="156" spans="1:169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</row>
    <row r="157" spans="1:169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</row>
    <row r="158" spans="1:169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</row>
    <row r="159" spans="1:169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</row>
    <row r="160" spans="1:169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</row>
    <row r="161" spans="1:169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</row>
    <row r="162" spans="1:169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</row>
    <row r="163" spans="1:169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</row>
    <row r="164" spans="1:169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</row>
    <row r="165" spans="1:169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</row>
    <row r="166" spans="1:169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</row>
    <row r="167" spans="1:169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</row>
    <row r="168" spans="1:169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</row>
    <row r="169" spans="1:169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</row>
    <row r="170" spans="1:169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</row>
    <row r="171" spans="1:169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</row>
    <row r="172" spans="1:169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</row>
    <row r="173" spans="1:169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</row>
    <row r="174" spans="1:169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</row>
    <row r="175" spans="1:169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</row>
    <row r="176" spans="1:169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</row>
    <row r="177" spans="1:169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</row>
    <row r="178" spans="1:169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</row>
    <row r="179" spans="1:169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</row>
    <row r="180" spans="1:169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</row>
    <row r="181" spans="1:169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</row>
    <row r="182" spans="1:169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</row>
    <row r="183" spans="1:169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</row>
    <row r="184" spans="1:169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</row>
    <row r="185" spans="1:169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</row>
    <row r="186" spans="1:169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</row>
    <row r="187" spans="1:169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</row>
    <row r="188" spans="1:169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</row>
    <row r="189" spans="1:169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</row>
    <row r="190" spans="1:169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</row>
    <row r="191" spans="1:169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</row>
    <row r="192" spans="1:169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</row>
    <row r="193" spans="1:169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</row>
    <row r="194" spans="1:169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</row>
    <row r="195" spans="1:169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</row>
    <row r="196" spans="1:169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</row>
    <row r="197" spans="1:169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</row>
    <row r="198" spans="1:169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</row>
    <row r="199" spans="1:169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</row>
    <row r="200" spans="1:169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</row>
    <row r="201" spans="1:169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</row>
    <row r="202" spans="1:169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</row>
    <row r="203" spans="1:169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</row>
    <row r="204" spans="1:169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</row>
    <row r="205" spans="1:169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</row>
    <row r="206" spans="1:169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</row>
    <row r="207" spans="1:169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</row>
    <row r="208" spans="1:169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</row>
    <row r="209" spans="1:169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</row>
    <row r="210" spans="1:169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</row>
    <row r="211" spans="1:169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</row>
    <row r="212" spans="1:169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</row>
    <row r="213" spans="1:169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</row>
    <row r="214" spans="1:169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</row>
    <row r="215" spans="1:169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</row>
    <row r="216" spans="1:169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</row>
    <row r="217" spans="1:169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</row>
    <row r="218" spans="1:169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</row>
    <row r="219" spans="1:169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</row>
    <row r="220" spans="1:169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</row>
    <row r="221" spans="1:169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</row>
    <row r="222" spans="1:169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</row>
    <row r="223" spans="1:169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</row>
    <row r="224" spans="1:169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</row>
    <row r="225" spans="1:169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</row>
    <row r="226" spans="1:169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</row>
    <row r="227" spans="1:169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</row>
    <row r="228" spans="1:169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</row>
    <row r="229" spans="1:169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</row>
    <row r="230" spans="1:169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</row>
    <row r="231" spans="1:169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</row>
    <row r="232" spans="1:169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</row>
    <row r="233" spans="1:169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</row>
    <row r="234" spans="1:169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</row>
    <row r="235" spans="1:169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</row>
    <row r="236" spans="1:169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</row>
    <row r="237" spans="1:169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</row>
    <row r="238" spans="1:169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</row>
    <row r="239" spans="1:169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</row>
    <row r="240" spans="1:169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</row>
    <row r="241" spans="1:169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</row>
    <row r="242" spans="1:169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</row>
    <row r="243" spans="1:169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</row>
    <row r="244" spans="1:169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</row>
    <row r="245" spans="1:169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</row>
    <row r="246" spans="1:169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</row>
    <row r="247" spans="1:169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</row>
    <row r="248" spans="1:169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</row>
    <row r="249" spans="1:169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</row>
    <row r="250" spans="1:169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</row>
    <row r="251" spans="1:169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</row>
    <row r="252" spans="1:169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</row>
    <row r="253" spans="1:169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</row>
    <row r="254" spans="1:169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</row>
    <row r="255" spans="1:169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</row>
    <row r="256" spans="1:169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</row>
    <row r="257" spans="1:169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</row>
    <row r="258" spans="1:169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</row>
    <row r="259" spans="1:169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</row>
    <row r="260" spans="1:169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</row>
    <row r="261" spans="1:169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</row>
    <row r="262" spans="1:169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</row>
    <row r="263" spans="1:169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</row>
    <row r="264" spans="1:169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</row>
    <row r="265" spans="1:169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</row>
    <row r="266" spans="1:169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</row>
    <row r="267" spans="1:169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</row>
    <row r="268" spans="1:169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</row>
    <row r="269" spans="1:169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</row>
    <row r="270" spans="1:169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</row>
    <row r="271" spans="1:169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</row>
    <row r="272" spans="1:169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</row>
    <row r="273" spans="1:169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</row>
    <row r="274" spans="1:169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</row>
    <row r="275" spans="1:169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</row>
    <row r="276" spans="1:169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</row>
    <row r="277" spans="1:169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</row>
    <row r="278" spans="1:169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</row>
    <row r="279" spans="1:169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</row>
    <row r="280" spans="1:169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</row>
    <row r="281" spans="1:169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</row>
    <row r="282" spans="1:169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</row>
    <row r="283" spans="1:169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</row>
    <row r="284" spans="1:169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</row>
    <row r="285" spans="1:169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</row>
    <row r="286" spans="1:169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</row>
    <row r="287" spans="1:169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</row>
    <row r="288" spans="1:169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</row>
    <row r="289" spans="1:169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</row>
    <row r="290" spans="1:169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</row>
    <row r="291" spans="1:169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</row>
    <row r="292" spans="1:169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</row>
    <row r="293" spans="1:169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</row>
    <row r="294" spans="1:169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</row>
    <row r="295" spans="1:169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</row>
    <row r="296" spans="1:169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</row>
    <row r="297" spans="1:169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</row>
    <row r="298" spans="1:169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</row>
    <row r="299" spans="1:169"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</row>
    <row r="300" spans="1:169"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</row>
  </sheetData>
  <sheetProtection algorithmName="SHA-512" hashValue="mOKhORZDz1ao8Tzpf9dNE8CYjuemC53wT8cOUyuzgnir52+yJ7PENjUdQWC3YEGIZKeDpYlPmfJedK0Ddojmaw==" saltValue="ePgsjx2PIDKz5x6IwA8yGA==" spinCount="100000" sheet="1" objects="1" scenarios="1"/>
  <mergeCells count="2">
    <mergeCell ref="C9:E9"/>
    <mergeCell ref="C14:D15"/>
  </mergeCells>
  <pageMargins left="0.7" right="0.7" top="0.75" bottom="0.75" header="0.3" footer="0.3"/>
  <pageSetup orientation="portrait" horizontalDpi="4294967293" verticalDpi="4294967293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F0"/>
  </sheetPr>
  <dimension ref="A1:DF123"/>
  <sheetViews>
    <sheetView showGridLines="0" showRowColHeaders="0" workbookViewId="0"/>
  </sheetViews>
  <sheetFormatPr baseColWidth="10" defaultRowHeight="12.75"/>
  <cols>
    <col min="7" max="7" width="16.42578125" customWidth="1"/>
    <col min="8" max="8" width="8.85546875" customWidth="1"/>
    <col min="9" max="9" width="8.5703125" customWidth="1"/>
    <col min="10" max="10" width="13.28515625" customWidth="1"/>
    <col min="11" max="11" width="7.140625" customWidth="1"/>
  </cols>
  <sheetData>
    <row r="1" spans="1:11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1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1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1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10">
      <c r="A5" s="2"/>
      <c r="B5" s="2"/>
      <c r="C5" s="2"/>
      <c r="D5" s="2"/>
      <c r="E5" s="1"/>
      <c r="F5" s="1"/>
      <c r="G5" s="1"/>
      <c r="H5" s="1"/>
      <c r="I5" s="1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10" ht="13.5" thickBot="1">
      <c r="A6" s="2"/>
      <c r="B6" s="2"/>
      <c r="C6" s="6"/>
      <c r="D6" s="2"/>
      <c r="E6" s="1"/>
      <c r="F6" s="1"/>
      <c r="G6" s="1"/>
      <c r="H6" s="1"/>
      <c r="I6" s="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10" ht="13.5" thickBot="1">
      <c r="A7" s="2"/>
      <c r="B7" s="2"/>
      <c r="C7" s="2"/>
      <c r="D7" s="2" t="s">
        <v>216</v>
      </c>
      <c r="E7" s="370"/>
      <c r="F7" s="370"/>
      <c r="G7" s="370"/>
      <c r="H7" s="370"/>
      <c r="I7" s="370"/>
      <c r="J7" s="370"/>
      <c r="K7" s="370"/>
      <c r="L7" s="370"/>
      <c r="M7" s="370"/>
      <c r="N7" s="370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10">
      <c r="A8" s="2"/>
      <c r="B8" s="2"/>
      <c r="C8" s="2"/>
      <c r="D8" s="2"/>
      <c r="E8" s="370"/>
      <c r="F8" s="370"/>
      <c r="G8" s="609" t="s">
        <v>213</v>
      </c>
      <c r="H8" s="610"/>
      <c r="I8" s="610"/>
      <c r="J8" s="610"/>
      <c r="K8" s="611"/>
      <c r="L8" s="370"/>
      <c r="M8" s="370"/>
      <c r="N8" s="370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10" ht="13.5" thickBot="1">
      <c r="A9" s="2"/>
      <c r="B9" s="2"/>
      <c r="C9" s="2"/>
      <c r="D9" s="2"/>
      <c r="E9" s="370"/>
      <c r="F9" s="370"/>
      <c r="G9" s="612"/>
      <c r="H9" s="613"/>
      <c r="I9" s="613"/>
      <c r="J9" s="613"/>
      <c r="K9" s="614"/>
      <c r="L9" s="370"/>
      <c r="M9" s="370"/>
      <c r="N9" s="370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10">
      <c r="A10" s="2"/>
      <c r="B10" s="2"/>
      <c r="C10" s="2"/>
      <c r="D10" s="2"/>
      <c r="E10" s="370"/>
      <c r="F10" s="370"/>
      <c r="G10" s="371"/>
      <c r="H10" s="372"/>
      <c r="I10" s="372"/>
      <c r="J10" s="372"/>
      <c r="K10" s="373"/>
      <c r="L10" s="370"/>
      <c r="M10" s="370"/>
      <c r="N10" s="370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10">
      <c r="A11" s="2"/>
      <c r="B11" s="2"/>
      <c r="C11" s="2"/>
      <c r="D11" s="2"/>
      <c r="E11" s="370"/>
      <c r="F11" s="370"/>
      <c r="G11" s="374" t="s">
        <v>78</v>
      </c>
      <c r="H11" s="375"/>
      <c r="I11" s="376">
        <f>'R2'!F23</f>
        <v>2806.1538461538466</v>
      </c>
      <c r="J11" s="377" t="s">
        <v>53</v>
      </c>
      <c r="K11" s="378"/>
      <c r="L11" s="370"/>
      <c r="M11" s="370"/>
      <c r="N11" s="370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10">
      <c r="A12" s="2"/>
      <c r="B12" s="2"/>
      <c r="C12" s="2"/>
      <c r="D12" s="2"/>
      <c r="E12" s="370"/>
      <c r="F12" s="370"/>
      <c r="G12" s="374"/>
      <c r="H12" s="375"/>
      <c r="I12" s="379"/>
      <c r="J12" s="380"/>
      <c r="K12" s="378"/>
      <c r="L12" s="370"/>
      <c r="M12" s="370"/>
      <c r="N12" s="370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</row>
    <row r="13" spans="1:110">
      <c r="A13" s="2"/>
      <c r="B13" s="2"/>
      <c r="C13" s="2"/>
      <c r="D13" s="2"/>
      <c r="E13" s="370"/>
      <c r="F13" s="370"/>
      <c r="G13" s="619" t="s">
        <v>79</v>
      </c>
      <c r="H13" s="620"/>
      <c r="I13" s="379">
        <f>'R2'!F21</f>
        <v>12</v>
      </c>
      <c r="J13" s="381" t="s">
        <v>81</v>
      </c>
      <c r="K13" s="382">
        <f>TRUNC(I13)</f>
        <v>12</v>
      </c>
      <c r="L13" s="370"/>
      <c r="M13" s="370"/>
      <c r="N13" s="370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</row>
    <row r="14" spans="1:110">
      <c r="A14" s="2"/>
      <c r="B14" s="2"/>
      <c r="C14" s="2"/>
      <c r="D14" s="2"/>
      <c r="E14" s="370"/>
      <c r="F14" s="370"/>
      <c r="G14" s="383"/>
      <c r="H14" s="384"/>
      <c r="I14" s="379"/>
      <c r="J14" s="381"/>
      <c r="K14" s="385"/>
      <c r="L14" s="230">
        <f>'R2'!F19</f>
        <v>0</v>
      </c>
      <c r="M14" s="370"/>
      <c r="N14" s="370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</row>
    <row r="15" spans="1:110">
      <c r="A15" s="2"/>
      <c r="B15" s="2"/>
      <c r="C15" s="2"/>
      <c r="D15" s="2"/>
      <c r="E15" s="370"/>
      <c r="F15" s="370"/>
      <c r="G15" s="619" t="s">
        <v>82</v>
      </c>
      <c r="H15" s="620"/>
      <c r="I15" s="379">
        <f>(L14*60)</f>
        <v>0</v>
      </c>
      <c r="J15" s="381" t="s">
        <v>28</v>
      </c>
      <c r="K15" s="385"/>
      <c r="L15" s="370"/>
      <c r="M15" s="370"/>
      <c r="N15" s="370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</row>
    <row r="16" spans="1:110">
      <c r="A16" s="2"/>
      <c r="B16" s="2"/>
      <c r="C16" s="2"/>
      <c r="D16" s="2"/>
      <c r="E16" s="370"/>
      <c r="F16" s="370"/>
      <c r="G16" s="374"/>
      <c r="H16" s="375"/>
      <c r="I16" s="380"/>
      <c r="J16" s="380"/>
      <c r="K16" s="378"/>
      <c r="L16" s="370"/>
      <c r="M16" s="370"/>
      <c r="N16" s="370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</row>
    <row r="17" spans="1:110" ht="21.75">
      <c r="A17" s="2"/>
      <c r="B17" s="2"/>
      <c r="C17" s="2"/>
      <c r="D17" s="2"/>
      <c r="E17" s="370"/>
      <c r="F17" s="370"/>
      <c r="G17" s="617" t="s">
        <v>80</v>
      </c>
      <c r="H17" s="618"/>
      <c r="I17" s="615" t="str">
        <f>IF(K13&lt;=3,"pesimo",IF(K13&lt;=4,"muy malo",IF(K13&lt;=5,"malo",IF(K13&lt;=6,"mediocre",IF(K13&lt;=9,"bueno",IF(K13&lt;=10,"muy bueno",IF(K13&lt;=11,"exelente",IF(K13&gt;=12,"älto rendimiento"))))))))</f>
        <v>älto rendimiento</v>
      </c>
      <c r="J17" s="615"/>
      <c r="K17" s="616"/>
      <c r="L17" s="370"/>
      <c r="M17" s="370"/>
      <c r="N17" s="370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</row>
    <row r="18" spans="1:110" ht="13.5" thickBot="1">
      <c r="A18" s="2"/>
      <c r="B18" s="2"/>
      <c r="C18" s="2"/>
      <c r="D18" s="2"/>
      <c r="E18" s="370"/>
      <c r="F18" s="370"/>
      <c r="G18" s="386"/>
      <c r="H18" s="387"/>
      <c r="I18" s="387"/>
      <c r="J18" s="387"/>
      <c r="K18" s="388"/>
      <c r="L18" s="370"/>
      <c r="M18" s="370"/>
      <c r="N18" s="370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</row>
    <row r="19" spans="1:110" ht="13.5" thickBot="1">
      <c r="A19" s="2"/>
      <c r="B19" s="2"/>
      <c r="C19" s="2"/>
      <c r="D19" s="2"/>
      <c r="E19" s="370"/>
      <c r="F19" s="370"/>
      <c r="G19" s="389"/>
      <c r="H19" s="390"/>
      <c r="I19" s="390"/>
      <c r="J19" s="390"/>
      <c r="K19" s="391"/>
      <c r="L19" s="370"/>
      <c r="M19" s="370"/>
      <c r="N19" s="370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</row>
    <row r="20" spans="1:110">
      <c r="A20" s="2"/>
      <c r="B20" s="2"/>
      <c r="C20" s="2"/>
      <c r="D20" s="2"/>
      <c r="E20" s="370"/>
      <c r="F20" s="370"/>
      <c r="G20" s="370"/>
      <c r="H20" s="370"/>
      <c r="I20" s="370"/>
      <c r="J20" s="370"/>
      <c r="K20" s="370"/>
      <c r="L20" s="370"/>
      <c r="M20" s="370"/>
      <c r="N20" s="370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</row>
    <row r="21" spans="1:110">
      <c r="A21" s="2"/>
      <c r="B21" s="2"/>
      <c r="C21" s="2"/>
      <c r="D21" s="2"/>
      <c r="E21" s="370"/>
      <c r="F21" s="370"/>
      <c r="G21" s="370"/>
      <c r="H21" s="370"/>
      <c r="I21" s="370"/>
      <c r="J21" s="370"/>
      <c r="K21" s="370"/>
      <c r="L21" s="370"/>
      <c r="M21" s="370"/>
      <c r="N21" s="370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</row>
    <row r="22" spans="1:110">
      <c r="A22" s="2"/>
      <c r="B22" s="2"/>
      <c r="C22" s="2"/>
      <c r="D22" s="2"/>
      <c r="E22" s="370"/>
      <c r="F22" s="370"/>
      <c r="G22" s="621" t="s">
        <v>91</v>
      </c>
      <c r="H22" s="621"/>
      <c r="I22" s="392">
        <f>I11</f>
        <v>2806.1538461538466</v>
      </c>
      <c r="J22" s="229" t="s">
        <v>53</v>
      </c>
      <c r="K22" s="370"/>
      <c r="L22" s="370"/>
      <c r="M22" s="370"/>
      <c r="N22" s="370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</row>
    <row r="23" spans="1:110">
      <c r="A23" s="2"/>
      <c r="B23" s="2"/>
      <c r="C23" s="2"/>
      <c r="D23" s="2"/>
      <c r="E23" s="370"/>
      <c r="F23" s="370"/>
      <c r="G23" s="621"/>
      <c r="H23" s="621"/>
      <c r="I23" s="392">
        <f>I13</f>
        <v>12</v>
      </c>
      <c r="J23" s="229" t="s">
        <v>81</v>
      </c>
      <c r="K23" s="370"/>
      <c r="L23" s="370"/>
      <c r="M23" s="370"/>
      <c r="N23" s="370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</row>
    <row r="24" spans="1:110">
      <c r="A24" s="2"/>
      <c r="B24" s="2"/>
      <c r="C24" s="2"/>
      <c r="D24" s="2"/>
      <c r="E24" s="370"/>
      <c r="F24" s="370"/>
      <c r="G24" s="370"/>
      <c r="H24" s="370"/>
      <c r="I24" s="370"/>
      <c r="J24" s="370"/>
      <c r="K24" s="370"/>
      <c r="L24" s="370"/>
      <c r="M24" s="370"/>
      <c r="N24" s="370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</row>
    <row r="25" spans="1:110">
      <c r="A25" s="2"/>
      <c r="B25" s="2"/>
      <c r="C25" s="2"/>
      <c r="D25" s="2"/>
      <c r="E25" s="370"/>
      <c r="F25" s="370"/>
      <c r="G25" s="608" t="s">
        <v>90</v>
      </c>
      <c r="H25" s="608"/>
      <c r="I25" s="608"/>
      <c r="J25" s="608"/>
      <c r="K25" s="607" t="str">
        <f>'.'!H13</f>
        <v>JIMMY INTRIAGO</v>
      </c>
      <c r="L25" s="607"/>
      <c r="M25" s="370"/>
      <c r="N25" s="370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</row>
    <row r="26" spans="1:110">
      <c r="A26" s="2"/>
      <c r="B26" s="2"/>
      <c r="C26" s="2"/>
      <c r="D26" s="2"/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</row>
    <row r="27" spans="1:110">
      <c r="A27" s="2"/>
      <c r="B27" s="2"/>
      <c r="C27" s="2"/>
      <c r="D27" s="2"/>
      <c r="E27" s="393" t="s">
        <v>84</v>
      </c>
      <c r="F27" s="393" t="s">
        <v>83</v>
      </c>
      <c r="G27" s="393" t="s">
        <v>117</v>
      </c>
      <c r="H27" s="394">
        <f>I22</f>
        <v>2806.1538461538466</v>
      </c>
      <c r="I27" s="229" t="s">
        <v>92</v>
      </c>
      <c r="J27" s="395">
        <f>K13*'-'!U15</f>
        <v>272.15999999999997</v>
      </c>
      <c r="K27" s="396" t="s">
        <v>104</v>
      </c>
      <c r="L27" s="229"/>
      <c r="M27" s="370"/>
      <c r="N27" s="370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</row>
    <row r="28" spans="1:110">
      <c r="A28" s="2"/>
      <c r="B28" s="2"/>
      <c r="C28" s="2"/>
      <c r="D28" s="2"/>
      <c r="E28" s="393" t="s">
        <v>85</v>
      </c>
      <c r="F28" s="393" t="s">
        <v>119</v>
      </c>
      <c r="G28" s="393" t="s">
        <v>118</v>
      </c>
      <c r="H28" s="397">
        <f>I11/2</f>
        <v>1403.0769230769233</v>
      </c>
      <c r="I28" s="229" t="s">
        <v>53</v>
      </c>
      <c r="J28" s="229" t="s">
        <v>89</v>
      </c>
      <c r="K28" s="398">
        <f>I15</f>
        <v>0</v>
      </c>
      <c r="L28" s="229" t="s">
        <v>93</v>
      </c>
      <c r="M28" s="399">
        <f>J27+'-'!U28</f>
        <v>286.27199999999999</v>
      </c>
      <c r="N28" s="229" t="s">
        <v>104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</row>
    <row r="29" spans="1:110">
      <c r="A29" s="2"/>
      <c r="B29" s="2"/>
      <c r="C29" s="2"/>
      <c r="D29" s="2"/>
      <c r="E29" s="393" t="s">
        <v>86</v>
      </c>
      <c r="F29" s="393" t="s">
        <v>119</v>
      </c>
      <c r="G29" s="393" t="s">
        <v>120</v>
      </c>
      <c r="H29" s="397">
        <f>I11/3</f>
        <v>935.38461538461559</v>
      </c>
      <c r="I29" s="229" t="s">
        <v>53</v>
      </c>
      <c r="J29" s="229" t="s">
        <v>89</v>
      </c>
      <c r="K29" s="398">
        <f>I15</f>
        <v>0</v>
      </c>
      <c r="L29" s="229" t="s">
        <v>93</v>
      </c>
      <c r="M29" s="399">
        <f>M28+'-'!U28</f>
        <v>300.38400000000001</v>
      </c>
      <c r="N29" s="229" t="s">
        <v>104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</row>
    <row r="30" spans="1:110">
      <c r="A30" s="2"/>
      <c r="B30" s="2"/>
      <c r="C30" s="2"/>
      <c r="D30" s="2"/>
      <c r="E30" s="393" t="s">
        <v>87</v>
      </c>
      <c r="F30" s="393" t="s">
        <v>119</v>
      </c>
      <c r="G30" s="393" t="s">
        <v>121</v>
      </c>
      <c r="H30" s="397">
        <f>I11/4</f>
        <v>701.53846153846166</v>
      </c>
      <c r="I30" s="229" t="s">
        <v>53</v>
      </c>
      <c r="J30" s="229" t="s">
        <v>89</v>
      </c>
      <c r="K30" s="398">
        <f>I15</f>
        <v>0</v>
      </c>
      <c r="L30" s="229" t="s">
        <v>93</v>
      </c>
      <c r="M30" s="399">
        <f>M29+'-'!U28</f>
        <v>314.49600000000004</v>
      </c>
      <c r="N30" s="229" t="s">
        <v>104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</row>
    <row r="31" spans="1:110">
      <c r="A31" s="2"/>
      <c r="B31" s="2"/>
      <c r="C31" s="2"/>
      <c r="D31" s="2"/>
      <c r="E31" s="393" t="s">
        <v>88</v>
      </c>
      <c r="F31" s="393" t="s">
        <v>119</v>
      </c>
      <c r="G31" s="393" t="s">
        <v>122</v>
      </c>
      <c r="H31" s="397">
        <f>I11/5</f>
        <v>561.23076923076928</v>
      </c>
      <c r="I31" s="229" t="s">
        <v>53</v>
      </c>
      <c r="J31" s="229" t="s">
        <v>89</v>
      </c>
      <c r="K31" s="398">
        <f>I15</f>
        <v>0</v>
      </c>
      <c r="L31" s="229" t="s">
        <v>93</v>
      </c>
      <c r="M31" s="399">
        <f>M30+'-'!U28</f>
        <v>328.60800000000006</v>
      </c>
      <c r="N31" s="229" t="s">
        <v>104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</row>
    <row r="32" spans="1:110">
      <c r="A32" s="2"/>
      <c r="B32" s="2"/>
      <c r="C32" s="2"/>
      <c r="D32" s="2"/>
      <c r="E32" s="1"/>
      <c r="F32" s="1"/>
      <c r="G32" s="1"/>
      <c r="H32" s="1"/>
      <c r="I32" s="1"/>
      <c r="J32" s="1"/>
      <c r="K32" s="8"/>
      <c r="L32" s="1"/>
      <c r="M32" s="1"/>
      <c r="N32" s="1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</row>
    <row r="33" spans="1:110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</row>
    <row r="34" spans="1:110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</row>
    <row r="35" spans="1:110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</row>
    <row r="36" spans="1:110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</row>
    <row r="37" spans="1:110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</row>
    <row r="38" spans="1:110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</row>
    <row r="39" spans="1:110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</row>
    <row r="40" spans="1:110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</row>
    <row r="41" spans="1:110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</row>
    <row r="42" spans="1:110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</row>
    <row r="43" spans="1:110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</row>
    <row r="44" spans="1:110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</row>
    <row r="45" spans="1:110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</row>
    <row r="46" spans="1:110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</row>
    <row r="47" spans="1:110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</row>
    <row r="48" spans="1:110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</row>
    <row r="49" spans="1:110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</row>
    <row r="50" spans="1:11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</row>
    <row r="51" spans="1:110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</row>
    <row r="52" spans="1:110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</row>
    <row r="53" spans="1:110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</row>
    <row r="54" spans="1:110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</row>
    <row r="55" spans="1:110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</row>
    <row r="56" spans="1:110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</row>
    <row r="57" spans="1:110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</row>
    <row r="58" spans="1:110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</row>
    <row r="59" spans="1:110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</row>
    <row r="60" spans="1:11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</row>
    <row r="61" spans="1:110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</row>
    <row r="62" spans="1:110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</row>
    <row r="63" spans="1:110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</row>
    <row r="64" spans="1:110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</row>
    <row r="65" spans="1:110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</row>
    <row r="66" spans="1:110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</row>
    <row r="67" spans="1:110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</row>
    <row r="68" spans="1:110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</row>
    <row r="69" spans="1:110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</row>
    <row r="70" spans="1:11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</row>
    <row r="71" spans="1:110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</row>
    <row r="72" spans="1:110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</row>
    <row r="73" spans="1:110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</row>
    <row r="74" spans="1:110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</row>
    <row r="75" spans="1:110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</row>
    <row r="76" spans="1:110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</row>
    <row r="77" spans="1:110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</row>
    <row r="78" spans="1:110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</row>
    <row r="79" spans="1:110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</row>
    <row r="80" spans="1:11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</row>
    <row r="81" spans="1:110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</row>
    <row r="82" spans="1:110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</row>
    <row r="83" spans="1:110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</row>
    <row r="84" spans="1:110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</row>
    <row r="85" spans="1:110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</row>
    <row r="86" spans="1:110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</row>
    <row r="87" spans="1:110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</row>
    <row r="88" spans="1:110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</row>
    <row r="89" spans="1:110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</row>
    <row r="90" spans="1:11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</row>
    <row r="91" spans="1:110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</row>
    <row r="92" spans="1:110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</row>
    <row r="93" spans="1:110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</row>
    <row r="94" spans="1:110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</row>
    <row r="95" spans="1:110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</row>
    <row r="96" spans="1:110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</row>
    <row r="97" spans="1:110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</row>
    <row r="98" spans="1:110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</row>
    <row r="99" spans="1:110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</row>
    <row r="100" spans="1:11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</row>
    <row r="101" spans="1:110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</row>
    <row r="102" spans="1:110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1:110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1:110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1:110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1:110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1:110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1:110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1:110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1: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1:110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1:110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1:110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1:110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1:110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1:110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1:110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1:110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1:110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1:11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1:110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1:110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1:110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</sheetData>
  <sheetProtection algorithmName="SHA-512" hashValue="Cp2Je35uETa/I6PSnpWzR6Co4wWlG+0PwyL1ea7/HegCIg5Qr1/OHJsGZ83adqf1n0Q7x+bwj8HbhGw9NTXTkw==" saltValue="CpSZi5fM/oi0Ai+scLT9Vg==" spinCount="100000" sheet="1" objects="1" scenarios="1"/>
  <mergeCells count="8">
    <mergeCell ref="K25:L25"/>
    <mergeCell ref="G25:J25"/>
    <mergeCell ref="G8:K9"/>
    <mergeCell ref="I17:K17"/>
    <mergeCell ref="G17:H17"/>
    <mergeCell ref="G13:H13"/>
    <mergeCell ref="G15:H15"/>
    <mergeCell ref="G22:H2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.</vt:lpstr>
      <vt:lpstr>"</vt:lpstr>
      <vt:lpstr>=</vt:lpstr>
      <vt:lpstr>-</vt:lpstr>
      <vt:lpstr>I</vt:lpstr>
      <vt:lpstr>R2</vt:lpstr>
      <vt:lpstr>R1</vt:lpstr>
      <vt:lpstr>I!Área_de_impresión</vt:lpstr>
    </vt:vector>
  </TitlesOfParts>
  <Company>Humberto Salazar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Crnl. Humberto Salazar</dc:creator>
  <cp:lastModifiedBy>DOCENTE</cp:lastModifiedBy>
  <cp:lastPrinted>2011-08-20T04:06:22Z</cp:lastPrinted>
  <dcterms:created xsi:type="dcterms:W3CDTF">1999-07-08T15:28:21Z</dcterms:created>
  <dcterms:modified xsi:type="dcterms:W3CDTF">2018-11-30T16:19:24Z</dcterms:modified>
</cp:coreProperties>
</file>